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8535" activeTab="0"/>
  </bookViews>
  <sheets>
    <sheet name="2018" sheetId="1" r:id="rId1"/>
    <sheet name="осв.суб за 2018 рік" sheetId="2" r:id="rId2"/>
  </sheets>
  <definedNames>
    <definedName name="_xlnm.Print_Area" localSheetId="0">'2018'!$A$1:$Q$521</definedName>
  </definedNames>
  <calcPr fullCalcOnLoad="1"/>
</workbook>
</file>

<file path=xl/sharedStrings.xml><?xml version="1.0" encoding="utf-8"?>
<sst xmlns="http://schemas.openxmlformats.org/spreadsheetml/2006/main" count="949" uniqueCount="58">
  <si>
    <t>Бубнівська сш</t>
  </si>
  <si>
    <t>Замличівська сш</t>
  </si>
  <si>
    <t>Затурцівська сш</t>
  </si>
  <si>
    <t>Колпитівська сш</t>
  </si>
  <si>
    <t>Конюхівська сш</t>
  </si>
  <si>
    <t>Локачинська сш</t>
  </si>
  <si>
    <t>Маньківська сш</t>
  </si>
  <si>
    <t>Павловичівська сш</t>
  </si>
  <si>
    <t>Привітненська сш</t>
  </si>
  <si>
    <t>Старозагорівська сш</t>
  </si>
  <si>
    <t>Холопичівська сш</t>
  </si>
  <si>
    <t>Шельвівська сш</t>
  </si>
  <si>
    <t>Всього</t>
  </si>
  <si>
    <t>Білопільська нсш</t>
  </si>
  <si>
    <t>Губинська нсш</t>
  </si>
  <si>
    <t>Заячицька нсш</t>
  </si>
  <si>
    <t>Зубильненська нсш</t>
  </si>
  <si>
    <t>Кисилинська нсш</t>
  </si>
  <si>
    <t>Козлівська нсш</t>
  </si>
  <si>
    <t>Коритницька нсш</t>
  </si>
  <si>
    <t>Линівська нсш</t>
  </si>
  <si>
    <t>Озютичівська нсш</t>
  </si>
  <si>
    <t>Окорська нсш</t>
  </si>
  <si>
    <t>П'ятикорівська нсш</t>
  </si>
  <si>
    <t>Войнинська пш</t>
  </si>
  <si>
    <t>Дорогиничівська пш</t>
  </si>
  <si>
    <t>Кремешська пш</t>
  </si>
  <si>
    <t>Марковичівська пш</t>
  </si>
  <si>
    <t>Новозагорівська пш</t>
  </si>
  <si>
    <t>Хорівська пш</t>
  </si>
  <si>
    <t>Всього за м-ць</t>
  </si>
  <si>
    <t>Назва  школи</t>
  </si>
  <si>
    <t>відділ освіти</t>
  </si>
  <si>
    <t>Білопільська ЗОШ</t>
  </si>
  <si>
    <t>Марковичі ДНЗ</t>
  </si>
  <si>
    <t>кас.витр.(школи)</t>
  </si>
  <si>
    <t>Марковичівська ДНЗ</t>
  </si>
  <si>
    <t xml:space="preserve">Тумин </t>
  </si>
  <si>
    <t>Використання бюджетних коштів за квітень м-ць 2018 р.</t>
  </si>
  <si>
    <t>Використання бюджетних коштів за березень м-ць 2018 р.</t>
  </si>
  <si>
    <t>Використання бюджетних коштів за лютий м-ць 2018 р.</t>
  </si>
  <si>
    <t>Використання бюджетних коштів за січень м-ць 2018 р.</t>
  </si>
  <si>
    <t>Використання бюджетних коштів за травень м-ць 2018 р.</t>
  </si>
  <si>
    <t>Використання бюджетних коштів за червень м-ць 2018 р.</t>
  </si>
  <si>
    <t>Використання бюджетних коштів за липень м-ць 2018 р.</t>
  </si>
  <si>
    <t>Використання бюджетних коштів за серпень м-ць 2018 р.</t>
  </si>
  <si>
    <t>Тумин ЗОШ</t>
  </si>
  <si>
    <t>Використання бюджетних коштів за вересень м-ць 2018 р.</t>
  </si>
  <si>
    <t>Використання бюджетних коштів за жовтень м-ць 2018 р.</t>
  </si>
  <si>
    <t>Використання бюджетних коштів за листопад м-ць 2018 р.</t>
  </si>
  <si>
    <t>Використання бюджетних коштів за грудень м-ць 2018 р.</t>
  </si>
  <si>
    <t>Тумин</t>
  </si>
  <si>
    <t>Використання бюджетних коштів за  2018 р.</t>
  </si>
  <si>
    <t>Всього за рік</t>
  </si>
  <si>
    <t>Райбюджет</t>
  </si>
  <si>
    <t>Війниця</t>
  </si>
  <si>
    <t>Привітне</t>
  </si>
  <si>
    <t>Затурці ОТГ(Маньків,Кисилин,Холопичі)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</si>
</sst>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0.000"/>
    <numFmt numFmtId="177" formatCode="_-* #,##0.000\ _г_р_н_._-;\-* #,##0.000\ _г_р_н_._-;_-* &quot;-&quot;??\ _г_р_н_._-;_-@_-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0.0000"/>
    <numFmt numFmtId="181" formatCode="0.00000"/>
    <numFmt numFmtId="182" formatCode="0.000000"/>
    <numFmt numFmtId="183" formatCode="_-* #,##0.0000\ _г_р_н_._-;\-* #,##0.0000\ _г_р_н_._-;_-* &quot;-&quot;??\ _г_р_н_._-;_-@_-"/>
    <numFmt numFmtId="184" formatCode="#,##0.00_ ;\-#,##0.00\ 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/>
    </xf>
    <xf numFmtId="0" fontId="7" fillId="24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5" fillId="24" borderId="12" xfId="0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23" xfId="0" applyFont="1" applyBorder="1" applyAlignment="1">
      <alignment horizontal="center" wrapText="1"/>
    </xf>
    <xf numFmtId="2" fontId="5" fillId="0" borderId="23" xfId="0" applyNumberFormat="1" applyFont="1" applyBorder="1" applyAlignment="1">
      <alignment wrapText="1"/>
    </xf>
    <xf numFmtId="0" fontId="6" fillId="0" borderId="23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2" fontId="5" fillId="0" borderId="23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2" fontId="8" fillId="24" borderId="0" xfId="0" applyNumberFormat="1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2" fontId="5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2" fontId="5" fillId="0" borderId="20" xfId="0" applyNumberFormat="1" applyFont="1" applyFill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0" fontId="5" fillId="24" borderId="25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24" borderId="28" xfId="0" applyFont="1" applyFill="1" applyBorder="1" applyAlignment="1">
      <alignment wrapText="1"/>
    </xf>
    <xf numFmtId="2" fontId="14" fillId="24" borderId="0" xfId="0" applyNumberFormat="1" applyFont="1" applyFill="1" applyBorder="1" applyAlignment="1">
      <alignment horizontal="center"/>
    </xf>
    <xf numFmtId="2" fontId="14" fillId="24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2" fontId="6" fillId="24" borderId="22" xfId="0" applyNumberFormat="1" applyFont="1" applyFill="1" applyBorder="1" applyAlignment="1">
      <alignment horizontal="center" wrapText="1"/>
    </xf>
    <xf numFmtId="2" fontId="6" fillId="24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2" fontId="6" fillId="0" borderId="23" xfId="0" applyNumberFormat="1" applyFont="1" applyFill="1" applyBorder="1" applyAlignment="1">
      <alignment wrapText="1"/>
    </xf>
    <xf numFmtId="2" fontId="14" fillId="24" borderId="0" xfId="0" applyNumberFormat="1" applyFont="1" applyFill="1" applyBorder="1" applyAlignment="1">
      <alignment horizontal="center" wrapText="1"/>
    </xf>
    <xf numFmtId="2" fontId="16" fillId="24" borderId="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2" fontId="8" fillId="24" borderId="29" xfId="0" applyNumberFormat="1" applyFont="1" applyFill="1" applyBorder="1" applyAlignment="1">
      <alignment horizontal="center" wrapText="1"/>
    </xf>
    <xf numFmtId="0" fontId="17" fillId="24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2" fontId="8" fillId="24" borderId="30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2" fontId="0" fillId="24" borderId="22" xfId="0" applyNumberFormat="1" applyFont="1" applyFill="1" applyBorder="1" applyAlignment="1">
      <alignment horizontal="center" wrapText="1"/>
    </xf>
    <xf numFmtId="2" fontId="0" fillId="0" borderId="1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2" fontId="0" fillId="24" borderId="14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wrapText="1"/>
    </xf>
    <xf numFmtId="2" fontId="0" fillId="0" borderId="23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wrapText="1"/>
    </xf>
    <xf numFmtId="2" fontId="3" fillId="24" borderId="12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2" fontId="3" fillId="24" borderId="0" xfId="0" applyNumberFormat="1" applyFont="1" applyFill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8" fillId="24" borderId="29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5" fillId="24" borderId="28" xfId="0" applyFont="1" applyFill="1" applyBorder="1" applyAlignment="1">
      <alignment wrapText="1"/>
    </xf>
    <xf numFmtId="0" fontId="3" fillId="24" borderId="31" xfId="0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/>
    </xf>
    <xf numFmtId="2" fontId="12" fillId="24" borderId="0" xfId="0" applyNumberFormat="1" applyFont="1" applyFill="1" applyAlignment="1">
      <alignment horizontal="center"/>
    </xf>
    <xf numFmtId="2" fontId="8" fillId="24" borderId="12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Border="1" applyAlignment="1">
      <alignment horizontal="center"/>
    </xf>
    <xf numFmtId="2" fontId="16" fillId="24" borderId="0" xfId="0" applyNumberFormat="1" applyFont="1" applyFill="1" applyBorder="1" applyAlignment="1">
      <alignment horizontal="center" wrapText="1"/>
    </xf>
    <xf numFmtId="2" fontId="14" fillId="24" borderId="0" xfId="0" applyNumberFormat="1" applyFont="1" applyFill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2" fontId="6" fillId="0" borderId="34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wrapText="1"/>
    </xf>
    <xf numFmtId="2" fontId="8" fillId="24" borderId="26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8" fillId="0" borderId="12" xfId="0" applyFont="1" applyBorder="1" applyAlignment="1">
      <alignment horizontal="center" wrapText="1"/>
    </xf>
    <xf numFmtId="0" fontId="3" fillId="24" borderId="29" xfId="0" applyFont="1" applyFill="1" applyBorder="1" applyAlignment="1">
      <alignment horizontal="center" wrapText="1"/>
    </xf>
    <xf numFmtId="2" fontId="6" fillId="24" borderId="0" xfId="0" applyNumberFormat="1" applyFont="1" applyFill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2" fontId="6" fillId="24" borderId="32" xfId="0" applyNumberFormat="1" applyFont="1" applyFill="1" applyBorder="1" applyAlignment="1">
      <alignment horizontal="center" wrapText="1"/>
    </xf>
    <xf numFmtId="2" fontId="6" fillId="0" borderId="35" xfId="0" applyNumberFormat="1" applyFont="1" applyBorder="1" applyAlignment="1">
      <alignment horizontal="center" wrapText="1"/>
    </xf>
    <xf numFmtId="2" fontId="6" fillId="24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/>
    </xf>
    <xf numFmtId="0" fontId="9" fillId="0" borderId="18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2" fontId="12" fillId="24" borderId="12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center" wrapText="1"/>
    </xf>
    <xf numFmtId="0" fontId="9" fillId="0" borderId="12" xfId="0" applyFont="1" applyBorder="1" applyAlignment="1">
      <alignment/>
    </xf>
    <xf numFmtId="2" fontId="12" fillId="24" borderId="12" xfId="0" applyNumberFormat="1" applyFont="1" applyFill="1" applyBorder="1" applyAlignment="1">
      <alignment horizontal="center" wrapText="1"/>
    </xf>
    <xf numFmtId="2" fontId="12" fillId="24" borderId="30" xfId="0" applyNumberFormat="1" applyFont="1" applyFill="1" applyBorder="1" applyAlignment="1">
      <alignment horizontal="center" wrapText="1"/>
    </xf>
    <xf numFmtId="2" fontId="12" fillId="24" borderId="29" xfId="0" applyNumberFormat="1" applyFont="1" applyFill="1" applyBorder="1" applyAlignment="1">
      <alignment horizontal="center" wrapText="1"/>
    </xf>
    <xf numFmtId="2" fontId="12" fillId="24" borderId="12" xfId="0" applyNumberFormat="1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 wrapText="1"/>
    </xf>
    <xf numFmtId="2" fontId="3" fillId="24" borderId="12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 wrapText="1"/>
    </xf>
    <xf numFmtId="0" fontId="0" fillId="24" borderId="0" xfId="0" applyFill="1" applyAlignment="1">
      <alignment horizontal="center"/>
    </xf>
    <xf numFmtId="0" fontId="0" fillId="24" borderId="12" xfId="0" applyFont="1" applyFill="1" applyBorder="1" applyAlignment="1">
      <alignment horizontal="center" wrapText="1"/>
    </xf>
    <xf numFmtId="2" fontId="3" fillId="24" borderId="30" xfId="0" applyNumberFormat="1" applyFont="1" applyFill="1" applyBorder="1" applyAlignment="1">
      <alignment horizontal="center" wrapText="1"/>
    </xf>
    <xf numFmtId="2" fontId="3" fillId="24" borderId="29" xfId="0" applyNumberFormat="1" applyFont="1" applyFill="1" applyBorder="1" applyAlignment="1">
      <alignment horizontal="center" wrapText="1"/>
    </xf>
    <xf numFmtId="2" fontId="0" fillId="24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23" xfId="0" applyNumberFormat="1" applyBorder="1" applyAlignment="1">
      <alignment horizontal="center"/>
    </xf>
    <xf numFmtId="2" fontId="0" fillId="24" borderId="14" xfId="0" applyNumberFormat="1" applyFont="1" applyFill="1" applyBorder="1" applyAlignment="1">
      <alignment horizontal="center" wrapText="1"/>
    </xf>
    <xf numFmtId="2" fontId="6" fillId="24" borderId="11" xfId="0" applyNumberFormat="1" applyFont="1" applyFill="1" applyBorder="1" applyAlignment="1">
      <alignment horizontal="center" wrapText="1"/>
    </xf>
    <xf numFmtId="2" fontId="0" fillId="24" borderId="0" xfId="0" applyNumberFormat="1" applyFill="1" applyAlignment="1">
      <alignment horizontal="center"/>
    </xf>
    <xf numFmtId="2" fontId="6" fillId="24" borderId="14" xfId="0" applyNumberFormat="1" applyFont="1" applyFill="1" applyBorder="1" applyAlignment="1">
      <alignment horizontal="center" wrapText="1"/>
    </xf>
    <xf numFmtId="2" fontId="3" fillId="24" borderId="12" xfId="0" applyNumberFormat="1" applyFont="1" applyFill="1" applyBorder="1" applyAlignment="1">
      <alignment horizontal="center" wrapText="1"/>
    </xf>
    <xf numFmtId="2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Alignment="1">
      <alignment horizontal="center"/>
    </xf>
    <xf numFmtId="0" fontId="5" fillId="24" borderId="19" xfId="0" applyFont="1" applyFill="1" applyBorder="1" applyAlignment="1">
      <alignment horizontal="justify" wrapText="1"/>
    </xf>
    <xf numFmtId="2" fontId="6" fillId="24" borderId="22" xfId="0" applyNumberFormat="1" applyFont="1" applyFill="1" applyBorder="1" applyAlignment="1">
      <alignment horizontal="center" wrapText="1"/>
    </xf>
    <xf numFmtId="2" fontId="5" fillId="24" borderId="19" xfId="0" applyNumberFormat="1" applyFont="1" applyFill="1" applyBorder="1" applyAlignment="1">
      <alignment horizontal="center" wrapText="1"/>
    </xf>
    <xf numFmtId="2" fontId="6" fillId="24" borderId="19" xfId="0" applyNumberFormat="1" applyFont="1" applyFill="1" applyBorder="1" applyAlignment="1">
      <alignment horizontal="center" wrapText="1"/>
    </xf>
    <xf numFmtId="0" fontId="6" fillId="24" borderId="19" xfId="0" applyFont="1" applyFill="1" applyBorder="1" applyAlignment="1">
      <alignment/>
    </xf>
    <xf numFmtId="2" fontId="6" fillId="24" borderId="19" xfId="0" applyNumberFormat="1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5" fillId="24" borderId="10" xfId="0" applyFont="1" applyFill="1" applyBorder="1" applyAlignment="1">
      <alignment horizontal="justify" wrapText="1"/>
    </xf>
    <xf numFmtId="2" fontId="5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justify" wrapText="1"/>
    </xf>
    <xf numFmtId="0" fontId="5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23" xfId="0" applyFont="1" applyFill="1" applyBorder="1" applyAlignment="1">
      <alignment horizontal="center" wrapText="1"/>
    </xf>
    <xf numFmtId="2" fontId="6" fillId="24" borderId="23" xfId="0" applyNumberFormat="1" applyFont="1" applyFill="1" applyBorder="1" applyAlignment="1">
      <alignment horizontal="center" wrapText="1"/>
    </xf>
    <xf numFmtId="2" fontId="5" fillId="24" borderId="23" xfId="0" applyNumberFormat="1" applyFont="1" applyFill="1" applyBorder="1" applyAlignment="1">
      <alignment horizontal="center" wrapText="1"/>
    </xf>
    <xf numFmtId="2" fontId="5" fillId="24" borderId="23" xfId="0" applyNumberFormat="1" applyFont="1" applyFill="1" applyBorder="1" applyAlignment="1">
      <alignment wrapText="1"/>
    </xf>
    <xf numFmtId="0" fontId="6" fillId="24" borderId="23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center"/>
    </xf>
    <xf numFmtId="0" fontId="0" fillId="24" borderId="23" xfId="0" applyFill="1" applyBorder="1" applyAlignment="1">
      <alignment/>
    </xf>
    <xf numFmtId="2" fontId="8" fillId="24" borderId="30" xfId="0" applyNumberFormat="1" applyFont="1" applyFill="1" applyBorder="1" applyAlignment="1">
      <alignment horizontal="center" wrapText="1"/>
    </xf>
    <xf numFmtId="2" fontId="16" fillId="24" borderId="0" xfId="0" applyNumberFormat="1" applyFont="1" applyFill="1" applyBorder="1" applyAlignment="1">
      <alignment horizontal="center"/>
    </xf>
    <xf numFmtId="2" fontId="16" fillId="24" borderId="0" xfId="0" applyNumberFormat="1" applyFont="1" applyFill="1" applyAlignment="1">
      <alignment horizontal="center"/>
    </xf>
    <xf numFmtId="0" fontId="6" fillId="24" borderId="19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2" fontId="6" fillId="24" borderId="23" xfId="0" applyNumberFormat="1" applyFont="1" applyFill="1" applyBorder="1" applyAlignment="1">
      <alignment wrapText="1"/>
    </xf>
    <xf numFmtId="0" fontId="0" fillId="24" borderId="23" xfId="0" applyFont="1" applyFill="1" applyBorder="1" applyAlignment="1">
      <alignment/>
    </xf>
    <xf numFmtId="2" fontId="6" fillId="24" borderId="0" xfId="0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 wrapText="1"/>
    </xf>
    <xf numFmtId="0" fontId="3" fillId="24" borderId="29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0" fillId="24" borderId="26" xfId="0" applyNumberFormat="1" applyFont="1" applyFill="1" applyBorder="1" applyAlignment="1">
      <alignment horizontal="center" wrapText="1"/>
    </xf>
    <xf numFmtId="2" fontId="10" fillId="24" borderId="37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2" fontId="13" fillId="24" borderId="0" xfId="0" applyNumberFormat="1" applyFont="1" applyFill="1" applyBorder="1" applyAlignment="1">
      <alignment horizontal="center" wrapText="1"/>
    </xf>
    <xf numFmtId="2" fontId="15" fillId="24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6" xfId="0" applyBorder="1" applyAlignment="1">
      <alignment/>
    </xf>
    <xf numFmtId="0" fontId="5" fillId="24" borderId="4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24" borderId="41" xfId="0" applyFont="1" applyFill="1" applyBorder="1" applyAlignment="1">
      <alignment wrapText="1"/>
    </xf>
    <xf numFmtId="2" fontId="8" fillId="0" borderId="42" xfId="0" applyNumberFormat="1" applyFont="1" applyBorder="1" applyAlignment="1">
      <alignment horizontal="center"/>
    </xf>
    <xf numFmtId="2" fontId="11" fillId="24" borderId="12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12" fillId="24" borderId="26" xfId="0" applyNumberFormat="1" applyFont="1" applyFill="1" applyBorder="1" applyAlignment="1">
      <alignment horizontal="center" wrapText="1"/>
    </xf>
    <xf numFmtId="2" fontId="12" fillId="24" borderId="37" xfId="0" applyNumberFormat="1" applyFont="1" applyFill="1" applyBorder="1" applyAlignment="1">
      <alignment horizontal="center" wrapText="1"/>
    </xf>
    <xf numFmtId="2" fontId="12" fillId="24" borderId="36" xfId="0" applyNumberFormat="1" applyFont="1" applyFill="1" applyBorder="1" applyAlignment="1">
      <alignment horizontal="center" wrapText="1"/>
    </xf>
    <xf numFmtId="2" fontId="12" fillId="24" borderId="26" xfId="0" applyNumberFormat="1" applyFont="1" applyFill="1" applyBorder="1" applyAlignment="1">
      <alignment horizontal="center" wrapText="1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51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5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24" borderId="52" xfId="0" applyFont="1" applyFill="1" applyBorder="1" applyAlignment="1">
      <alignment horizontal="center" wrapText="1"/>
    </xf>
    <xf numFmtId="0" fontId="5" fillId="24" borderId="5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24" borderId="12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2" fontId="12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23" xfId="0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6" fillId="24" borderId="20" xfId="0" applyNumberFormat="1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 wrapText="1"/>
    </xf>
    <xf numFmtId="2" fontId="0" fillId="24" borderId="19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6" fillId="24" borderId="19" xfId="0" applyNumberFormat="1" applyFont="1" applyFill="1" applyBorder="1" applyAlignment="1">
      <alignment/>
    </xf>
    <xf numFmtId="2" fontId="0" fillId="24" borderId="19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/>
    </xf>
    <xf numFmtId="2" fontId="38" fillId="24" borderId="12" xfId="0" applyNumberFormat="1" applyFont="1" applyFill="1" applyBorder="1" applyAlignment="1">
      <alignment horizontal="center" wrapText="1"/>
    </xf>
    <xf numFmtId="0" fontId="9" fillId="24" borderId="18" xfId="0" applyFont="1" applyFill="1" applyBorder="1" applyAlignment="1">
      <alignment/>
    </xf>
    <xf numFmtId="2" fontId="8" fillId="24" borderId="26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 wrapText="1"/>
    </xf>
    <xf numFmtId="2" fontId="6" fillId="24" borderId="59" xfId="0" applyNumberFormat="1" applyFont="1" applyFill="1" applyBorder="1" applyAlignment="1">
      <alignment horizontal="center" wrapText="1"/>
    </xf>
    <xf numFmtId="2" fontId="8" fillId="24" borderId="5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2" borderId="0" xfId="0" applyFill="1" applyAlignment="1">
      <alignment/>
    </xf>
    <xf numFmtId="2" fontId="0" fillId="0" borderId="0" xfId="0" applyNumberFormat="1" applyAlignment="1">
      <alignment horizontal="center" wrapText="1"/>
    </xf>
    <xf numFmtId="0" fontId="2" fillId="25" borderId="16" xfId="0" applyFont="1" applyFill="1" applyBorder="1" applyAlignment="1">
      <alignment horizontal="center"/>
    </xf>
    <xf numFmtId="0" fontId="5" fillId="25" borderId="39" xfId="0" applyFont="1" applyFill="1" applyBorder="1" applyAlignment="1">
      <alignment horizontal="center" wrapText="1"/>
    </xf>
    <xf numFmtId="2" fontId="6" fillId="25" borderId="32" xfId="0" applyNumberFormat="1" applyFont="1" applyFill="1" applyBorder="1" applyAlignment="1">
      <alignment horizontal="center" wrapText="1"/>
    </xf>
    <xf numFmtId="2" fontId="6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/>
    </xf>
    <xf numFmtId="2" fontId="0" fillId="25" borderId="0" xfId="0" applyNumberFormat="1" applyFill="1" applyAlignment="1">
      <alignment/>
    </xf>
    <xf numFmtId="0" fontId="2" fillId="22" borderId="15" xfId="0" applyFont="1" applyFill="1" applyBorder="1" applyAlignment="1">
      <alignment horizontal="center"/>
    </xf>
    <xf numFmtId="0" fontId="5" fillId="22" borderId="38" xfId="0" applyFont="1" applyFill="1" applyBorder="1" applyAlignment="1">
      <alignment horizontal="center" wrapText="1"/>
    </xf>
    <xf numFmtId="2" fontId="6" fillId="22" borderId="34" xfId="0" applyNumberFormat="1" applyFont="1" applyFill="1" applyBorder="1" applyAlignment="1">
      <alignment horizontal="center" wrapText="1"/>
    </xf>
    <xf numFmtId="2" fontId="6" fillId="22" borderId="10" xfId="0" applyNumberFormat="1" applyFont="1" applyFill="1" applyBorder="1" applyAlignment="1">
      <alignment horizontal="center" wrapText="1"/>
    </xf>
    <xf numFmtId="2" fontId="8" fillId="22" borderId="10" xfId="0" applyNumberFormat="1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 wrapText="1"/>
    </xf>
    <xf numFmtId="2" fontId="6" fillId="22" borderId="32" xfId="0" applyNumberFormat="1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 wrapText="1"/>
    </xf>
    <xf numFmtId="2" fontId="6" fillId="7" borderId="32" xfId="0" applyNumberFormat="1" applyFont="1" applyFill="1" applyBorder="1" applyAlignment="1">
      <alignment horizontal="center" wrapText="1"/>
    </xf>
    <xf numFmtId="2" fontId="6" fillId="7" borderId="10" xfId="0" applyNumberFormat="1" applyFont="1" applyFill="1" applyBorder="1" applyAlignment="1">
      <alignment horizontal="center" wrapText="1"/>
    </xf>
    <xf numFmtId="2" fontId="8" fillId="7" borderId="1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2" fontId="39" fillId="0" borderId="10" xfId="0" applyNumberFormat="1" applyFont="1" applyBorder="1" applyAlignment="1">
      <alignment/>
    </xf>
    <xf numFmtId="2" fontId="39" fillId="25" borderId="10" xfId="0" applyNumberFormat="1" applyFont="1" applyFill="1" applyBorder="1" applyAlignment="1">
      <alignment/>
    </xf>
    <xf numFmtId="2" fontId="39" fillId="22" borderId="10" xfId="0" applyNumberFormat="1" applyFont="1" applyFill="1" applyBorder="1" applyAlignment="1">
      <alignment/>
    </xf>
    <xf numFmtId="2" fontId="39" fillId="7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9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39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39" fillId="7" borderId="21" xfId="0" applyFont="1" applyFill="1" applyBorder="1" applyAlignment="1">
      <alignment wrapText="1"/>
    </xf>
    <xf numFmtId="0" fontId="0" fillId="7" borderId="14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21"/>
  <sheetViews>
    <sheetView tabSelected="1" view="pageBreakPreview" zoomScaleSheetLayoutView="100" workbookViewId="0" topLeftCell="A1">
      <selection activeCell="D489" sqref="D489"/>
    </sheetView>
  </sheetViews>
  <sheetFormatPr defaultColWidth="9.140625" defaultRowHeight="12.75"/>
  <cols>
    <col min="1" max="1" width="3.421875" style="0" customWidth="1"/>
    <col min="2" max="2" width="18.00390625" style="0" customWidth="1"/>
    <col min="3" max="3" width="13.421875" style="0" customWidth="1"/>
    <col min="4" max="4" width="15.00390625" style="0" customWidth="1"/>
    <col min="5" max="5" width="10.28125" style="0" customWidth="1"/>
    <col min="6" max="6" width="10.00390625" style="0" bestFit="1" customWidth="1"/>
    <col min="7" max="7" width="11.00390625" style="0" customWidth="1"/>
    <col min="8" max="8" width="9.28125" style="0" customWidth="1"/>
    <col min="9" max="9" width="10.57421875" style="0" customWidth="1"/>
    <col min="10" max="10" width="9.28125" style="0" bestFit="1" customWidth="1"/>
    <col min="11" max="11" width="10.140625" style="0" bestFit="1" customWidth="1"/>
    <col min="12" max="12" width="10.57421875" style="0" bestFit="1" customWidth="1"/>
    <col min="13" max="13" width="10.28125" style="0" customWidth="1"/>
    <col min="14" max="14" width="8.421875" style="0" customWidth="1"/>
    <col min="15" max="15" width="7.140625" style="0" customWidth="1"/>
    <col min="16" max="16" width="9.57421875" style="0" customWidth="1"/>
    <col min="17" max="17" width="16.140625" style="0" customWidth="1"/>
  </cols>
  <sheetData>
    <row r="4" ht="32.25" customHeight="1" hidden="1"/>
    <row r="5" spans="2:17" ht="18" customHeight="1" hidden="1" thickBot="1">
      <c r="B5" s="359" t="s">
        <v>41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</row>
    <row r="6" spans="1:17" ht="13.5" customHeight="1" hidden="1" thickBot="1">
      <c r="A6" s="254"/>
      <c r="B6" s="10" t="s">
        <v>31</v>
      </c>
      <c r="C6" s="159">
        <v>2110</v>
      </c>
      <c r="D6" s="159">
        <v>2111</v>
      </c>
      <c r="E6" s="159">
        <v>2210</v>
      </c>
      <c r="F6" s="92">
        <v>2230</v>
      </c>
      <c r="G6" s="92">
        <v>2240</v>
      </c>
      <c r="H6" s="92">
        <v>2250</v>
      </c>
      <c r="I6" s="92">
        <v>2271</v>
      </c>
      <c r="J6" s="11">
        <v>2272</v>
      </c>
      <c r="K6" s="11">
        <v>2273</v>
      </c>
      <c r="L6" s="93">
        <v>2274</v>
      </c>
      <c r="M6" s="93">
        <v>2275</v>
      </c>
      <c r="N6" s="93">
        <v>2800</v>
      </c>
      <c r="O6" s="93">
        <v>2730</v>
      </c>
      <c r="P6" s="11">
        <v>2282</v>
      </c>
      <c r="Q6" s="168" t="s">
        <v>30</v>
      </c>
    </row>
    <row r="7" spans="1:17" ht="13.5" customHeight="1" hidden="1">
      <c r="A7" s="255">
        <v>1</v>
      </c>
      <c r="B7" s="252" t="s">
        <v>0</v>
      </c>
      <c r="C7" s="164"/>
      <c r="D7" s="165"/>
      <c r="E7" s="165">
        <f>(190+3325)*1.2</f>
        <v>4218</v>
      </c>
      <c r="F7" s="71">
        <f>1016.06+127.1</f>
        <v>1143.1599999999999</v>
      </c>
      <c r="G7" s="71">
        <f>(51.51+60.5)*1.2+139</f>
        <v>273.412</v>
      </c>
      <c r="H7" s="71"/>
      <c r="I7" s="166"/>
      <c r="J7" s="5"/>
      <c r="K7" s="25">
        <v>794</v>
      </c>
      <c r="L7" s="5"/>
      <c r="M7" s="8"/>
      <c r="N7" s="8"/>
      <c r="O7" s="167"/>
      <c r="P7" s="167"/>
      <c r="Q7" s="23">
        <f>SUM(C7:P7)</f>
        <v>6428.572</v>
      </c>
    </row>
    <row r="8" spans="1:17" ht="13.5" customHeight="1" hidden="1">
      <c r="A8" s="256">
        <v>2</v>
      </c>
      <c r="B8" s="253" t="s">
        <v>1</v>
      </c>
      <c r="C8" s="150"/>
      <c r="D8" s="88"/>
      <c r="E8" s="88">
        <f>2625*1.2</f>
        <v>3150</v>
      </c>
      <c r="F8" s="69">
        <f>1552.89+281.28</f>
        <v>1834.17</v>
      </c>
      <c r="G8" s="69">
        <f>(44.7*1.2)+135</f>
        <v>188.64</v>
      </c>
      <c r="H8" s="69"/>
      <c r="I8" s="72"/>
      <c r="J8" s="3"/>
      <c r="K8" s="21">
        <v>1569</v>
      </c>
      <c r="L8" s="21">
        <v>29227.64</v>
      </c>
      <c r="M8" s="4"/>
      <c r="N8" s="4"/>
      <c r="O8" s="1"/>
      <c r="P8" s="1"/>
      <c r="Q8" s="29">
        <f>SUM(C8:P8)</f>
        <v>35969.45</v>
      </c>
    </row>
    <row r="9" spans="1:17" ht="13.5" customHeight="1" hidden="1">
      <c r="A9" s="256">
        <v>3</v>
      </c>
      <c r="B9" s="253" t="s">
        <v>2</v>
      </c>
      <c r="C9" s="150"/>
      <c r="D9" s="88"/>
      <c r="E9" s="88">
        <f>3850*1.2</f>
        <v>4620</v>
      </c>
      <c r="F9" s="69"/>
      <c r="G9" s="69">
        <f>(44.7+51.51)*1.2</f>
        <v>115.452</v>
      </c>
      <c r="H9" s="69"/>
      <c r="I9" s="73"/>
      <c r="J9" s="3"/>
      <c r="K9" s="21">
        <v>9859</v>
      </c>
      <c r="L9" s="21"/>
      <c r="M9" s="21"/>
      <c r="N9" s="21"/>
      <c r="O9" s="1"/>
      <c r="P9" s="1"/>
      <c r="Q9" s="29">
        <f aca="true" t="shared" si="0" ref="Q9:Q37">SUM(C9:P9)</f>
        <v>14594.452000000001</v>
      </c>
    </row>
    <row r="10" spans="1:17" ht="13.5" customHeight="1" hidden="1">
      <c r="A10" s="256">
        <v>4</v>
      </c>
      <c r="B10" s="253" t="s">
        <v>3</v>
      </c>
      <c r="C10" s="150"/>
      <c r="D10" s="88"/>
      <c r="E10" s="88"/>
      <c r="F10" s="69">
        <f>994.01</f>
        <v>994.01</v>
      </c>
      <c r="G10" s="69">
        <f>44.7*1.2</f>
        <v>53.64</v>
      </c>
      <c r="H10" s="69"/>
      <c r="I10" s="72"/>
      <c r="J10" s="3"/>
      <c r="K10" s="21">
        <v>1819</v>
      </c>
      <c r="L10" s="21">
        <v>21414.54</v>
      </c>
      <c r="M10" s="21"/>
      <c r="N10" s="21"/>
      <c r="O10" s="1"/>
      <c r="P10" s="1"/>
      <c r="Q10" s="29">
        <f t="shared" si="0"/>
        <v>24281.190000000002</v>
      </c>
    </row>
    <row r="11" spans="1:17" ht="13.5" customHeight="1" hidden="1">
      <c r="A11" s="256">
        <v>5</v>
      </c>
      <c r="B11" s="253" t="s">
        <v>4</v>
      </c>
      <c r="C11" s="150"/>
      <c r="D11" s="88"/>
      <c r="E11" s="88"/>
      <c r="F11" s="69">
        <f>343.35</f>
        <v>343.35</v>
      </c>
      <c r="G11" s="69">
        <f>44.7*1.2</f>
        <v>53.64</v>
      </c>
      <c r="H11" s="69"/>
      <c r="I11" s="73"/>
      <c r="J11" s="3"/>
      <c r="K11" s="21">
        <v>2219</v>
      </c>
      <c r="L11" s="21"/>
      <c r="M11" s="21"/>
      <c r="N11" s="21"/>
      <c r="O11" s="1"/>
      <c r="P11" s="1"/>
      <c r="Q11" s="29">
        <f t="shared" si="0"/>
        <v>2615.99</v>
      </c>
    </row>
    <row r="12" spans="1:17" ht="13.5" customHeight="1" hidden="1">
      <c r="A12" s="256">
        <v>6</v>
      </c>
      <c r="B12" s="253" t="s">
        <v>5</v>
      </c>
      <c r="C12" s="163"/>
      <c r="D12" s="88"/>
      <c r="E12" s="88">
        <f>(7000+7000+2800)*1.2</f>
        <v>20160</v>
      </c>
      <c r="F12" s="69">
        <f>3701.94+1744.14</f>
        <v>5446.08</v>
      </c>
      <c r="G12" s="69">
        <f>308.03+435.76</f>
        <v>743.79</v>
      </c>
      <c r="H12" s="180"/>
      <c r="I12" s="34"/>
      <c r="J12" s="21"/>
      <c r="K12" s="21">
        <v>17675</v>
      </c>
      <c r="L12" s="21"/>
      <c r="M12" s="21"/>
      <c r="N12" s="21">
        <f>56</f>
        <v>56</v>
      </c>
      <c r="O12" s="1"/>
      <c r="P12" s="1"/>
      <c r="Q12" s="29">
        <f t="shared" si="0"/>
        <v>44080.87</v>
      </c>
    </row>
    <row r="13" spans="1:17" ht="13.5" customHeight="1" hidden="1">
      <c r="A13" s="256">
        <v>7</v>
      </c>
      <c r="B13" s="253" t="s">
        <v>6</v>
      </c>
      <c r="C13" s="163"/>
      <c r="D13" s="88"/>
      <c r="E13" s="88"/>
      <c r="F13" s="69">
        <f>808.58</f>
        <v>808.58</v>
      </c>
      <c r="G13" s="69">
        <f>(37.96*1.2)+80+200</f>
        <v>325.552</v>
      </c>
      <c r="H13" s="69"/>
      <c r="I13" s="72"/>
      <c r="J13" s="3"/>
      <c r="K13" s="21">
        <v>4468</v>
      </c>
      <c r="L13" s="21"/>
      <c r="M13" s="21"/>
      <c r="N13" s="21"/>
      <c r="O13" s="1"/>
      <c r="P13" s="1"/>
      <c r="Q13" s="29">
        <f t="shared" si="0"/>
        <v>5602.132</v>
      </c>
    </row>
    <row r="14" spans="1:17" ht="13.5" customHeight="1" hidden="1">
      <c r="A14" s="256">
        <v>8</v>
      </c>
      <c r="B14" s="253" t="s">
        <v>7</v>
      </c>
      <c r="C14" s="163"/>
      <c r="D14" s="88"/>
      <c r="E14" s="88"/>
      <c r="F14" s="69">
        <f>363.16</f>
        <v>363.16</v>
      </c>
      <c r="G14" s="69">
        <f>52.78*1.2</f>
        <v>63.336</v>
      </c>
      <c r="H14" s="69"/>
      <c r="I14" s="72"/>
      <c r="J14" s="21">
        <f>177.16</f>
        <v>177.16</v>
      </c>
      <c r="K14" s="21">
        <v>5396</v>
      </c>
      <c r="L14" s="21"/>
      <c r="M14" s="21"/>
      <c r="N14" s="21"/>
      <c r="O14" s="1"/>
      <c r="P14" s="1"/>
      <c r="Q14" s="29">
        <f t="shared" si="0"/>
        <v>5999.656</v>
      </c>
    </row>
    <row r="15" spans="1:17" ht="13.5" customHeight="1" hidden="1">
      <c r="A15" s="256">
        <v>9</v>
      </c>
      <c r="B15" s="253" t="s">
        <v>8</v>
      </c>
      <c r="C15" s="163"/>
      <c r="D15" s="88"/>
      <c r="E15" s="69"/>
      <c r="F15" s="69">
        <f>1212.24</f>
        <v>1212.24</v>
      </c>
      <c r="G15" s="69">
        <f>89.4*1.2</f>
        <v>107.28</v>
      </c>
      <c r="H15" s="69"/>
      <c r="I15" s="72"/>
      <c r="J15" s="3"/>
      <c r="K15" s="21">
        <v>2408</v>
      </c>
      <c r="L15" s="21"/>
      <c r="M15" s="21"/>
      <c r="N15" s="21"/>
      <c r="O15" s="1"/>
      <c r="P15" s="1"/>
      <c r="Q15" s="29">
        <f t="shared" si="0"/>
        <v>3727.52</v>
      </c>
    </row>
    <row r="16" spans="1:17" ht="13.5" customHeight="1" hidden="1">
      <c r="A16" s="256">
        <v>10</v>
      </c>
      <c r="B16" s="253" t="s">
        <v>9</v>
      </c>
      <c r="C16" s="163"/>
      <c r="D16" s="88"/>
      <c r="E16" s="69">
        <f>2625*1.2</f>
        <v>3150</v>
      </c>
      <c r="F16" s="69">
        <f>1765.48</f>
        <v>1765.48</v>
      </c>
      <c r="G16" s="69">
        <f>(44.7*1.2)+100</f>
        <v>153.64</v>
      </c>
      <c r="H16" s="69"/>
      <c r="I16" s="72"/>
      <c r="J16" s="3"/>
      <c r="K16" s="21">
        <v>2869</v>
      </c>
      <c r="L16" s="21">
        <v>26321.54</v>
      </c>
      <c r="M16" s="21"/>
      <c r="N16" s="21"/>
      <c r="O16" s="1"/>
      <c r="P16" s="1"/>
      <c r="Q16" s="29">
        <f t="shared" si="0"/>
        <v>34259.66</v>
      </c>
    </row>
    <row r="17" spans="1:17" ht="13.5" customHeight="1" hidden="1">
      <c r="A17" s="256">
        <v>11</v>
      </c>
      <c r="B17" s="253" t="s">
        <v>10</v>
      </c>
      <c r="C17" s="163"/>
      <c r="D17" s="88"/>
      <c r="E17" s="69"/>
      <c r="F17" s="69">
        <f>893.5</f>
        <v>893.5</v>
      </c>
      <c r="G17" s="69">
        <f>(46.9*1.2)+139</f>
        <v>195.28</v>
      </c>
      <c r="H17" s="69"/>
      <c r="I17" s="72"/>
      <c r="J17" s="28"/>
      <c r="K17" s="21">
        <v>1663</v>
      </c>
      <c r="L17" s="21"/>
      <c r="M17" s="21"/>
      <c r="N17" s="21"/>
      <c r="O17" s="1"/>
      <c r="P17" s="1"/>
      <c r="Q17" s="29">
        <f t="shared" si="0"/>
        <v>2751.7799999999997</v>
      </c>
    </row>
    <row r="18" spans="1:17" ht="13.5" customHeight="1" hidden="1">
      <c r="A18" s="256">
        <v>12</v>
      </c>
      <c r="B18" s="253" t="s">
        <v>11</v>
      </c>
      <c r="C18" s="163"/>
      <c r="D18" s="88"/>
      <c r="E18" s="69">
        <f>3850*1.2</f>
        <v>4620</v>
      </c>
      <c r="F18" s="69"/>
      <c r="G18" s="69">
        <f>44.7*1.2</f>
        <v>53.64</v>
      </c>
      <c r="H18" s="69"/>
      <c r="I18" s="72"/>
      <c r="J18" s="3"/>
      <c r="K18" s="21">
        <v>5262</v>
      </c>
      <c r="L18" s="21"/>
      <c r="M18" s="21"/>
      <c r="N18" s="21"/>
      <c r="O18" s="1"/>
      <c r="P18" s="1"/>
      <c r="Q18" s="29">
        <f t="shared" si="0"/>
        <v>9935.64</v>
      </c>
    </row>
    <row r="19" spans="1:17" ht="13.5" customHeight="1" hidden="1">
      <c r="A19" s="256">
        <v>13</v>
      </c>
      <c r="B19" s="253" t="s">
        <v>13</v>
      </c>
      <c r="C19" s="163"/>
      <c r="D19" s="88"/>
      <c r="E19" s="69"/>
      <c r="F19" s="69"/>
      <c r="G19" s="69">
        <f>26.82*1.2</f>
        <v>32.184</v>
      </c>
      <c r="H19" s="69"/>
      <c r="I19" s="72"/>
      <c r="J19" s="3"/>
      <c r="K19" s="21">
        <v>1539</v>
      </c>
      <c r="L19" s="21">
        <v>20890.49</v>
      </c>
      <c r="M19" s="21"/>
      <c r="N19" s="21"/>
      <c r="O19" s="1"/>
      <c r="P19" s="1"/>
      <c r="Q19" s="29">
        <f t="shared" si="0"/>
        <v>22461.674000000003</v>
      </c>
    </row>
    <row r="20" spans="1:17" ht="13.5" customHeight="1" hidden="1">
      <c r="A20" s="256">
        <v>14</v>
      </c>
      <c r="B20" s="253" t="s">
        <v>14</v>
      </c>
      <c r="C20" s="163"/>
      <c r="D20" s="88"/>
      <c r="E20" s="69">
        <f>1750*1.2</f>
        <v>2100</v>
      </c>
      <c r="F20" s="69">
        <f>878.43</f>
        <v>878.43</v>
      </c>
      <c r="G20" s="69">
        <f>44.7*1.2</f>
        <v>53.64</v>
      </c>
      <c r="H20" s="69"/>
      <c r="I20" s="72"/>
      <c r="J20" s="21">
        <f>106.64</f>
        <v>106.64</v>
      </c>
      <c r="K20" s="21">
        <v>797</v>
      </c>
      <c r="L20" s="21"/>
      <c r="M20" s="21"/>
      <c r="N20" s="21"/>
      <c r="O20" s="1"/>
      <c r="P20" s="1"/>
      <c r="Q20" s="29">
        <f t="shared" si="0"/>
        <v>3935.7099999999996</v>
      </c>
    </row>
    <row r="21" spans="1:17" ht="13.5" customHeight="1" hidden="1">
      <c r="A21" s="256">
        <v>15</v>
      </c>
      <c r="B21" s="253" t="s">
        <v>15</v>
      </c>
      <c r="C21" s="163"/>
      <c r="D21" s="88"/>
      <c r="E21" s="69"/>
      <c r="F21" s="69">
        <f>266.97</f>
        <v>266.97</v>
      </c>
      <c r="G21" s="69">
        <f>44.7*1.2</f>
        <v>53.64</v>
      </c>
      <c r="H21" s="69"/>
      <c r="I21" s="72"/>
      <c r="J21" s="3"/>
      <c r="K21" s="21">
        <v>1070</v>
      </c>
      <c r="L21" s="21"/>
      <c r="M21" s="21"/>
      <c r="N21" s="21"/>
      <c r="O21" s="1"/>
      <c r="P21" s="1"/>
      <c r="Q21" s="29">
        <f t="shared" si="0"/>
        <v>1390.6100000000001</v>
      </c>
    </row>
    <row r="22" spans="1:17" ht="13.5" customHeight="1" hidden="1">
      <c r="A22" s="256">
        <v>16</v>
      </c>
      <c r="B22" s="253" t="s">
        <v>16</v>
      </c>
      <c r="C22" s="163"/>
      <c r="D22" s="88"/>
      <c r="E22" s="69"/>
      <c r="F22" s="69"/>
      <c r="G22" s="69">
        <f>44.7*1.2</f>
        <v>53.64</v>
      </c>
      <c r="H22" s="69"/>
      <c r="I22" s="72"/>
      <c r="J22" s="3"/>
      <c r="K22" s="21">
        <v>2730</v>
      </c>
      <c r="L22" s="21"/>
      <c r="M22" s="21"/>
      <c r="N22" s="21"/>
      <c r="O22" s="1"/>
      <c r="P22" s="1"/>
      <c r="Q22" s="29">
        <f t="shared" si="0"/>
        <v>2783.64</v>
      </c>
    </row>
    <row r="23" spans="1:17" ht="13.5" customHeight="1" hidden="1">
      <c r="A23" s="256">
        <v>17</v>
      </c>
      <c r="B23" s="253" t="s">
        <v>17</v>
      </c>
      <c r="C23" s="163"/>
      <c r="D23" s="88"/>
      <c r="E23" s="69">
        <f>4375*1.2</f>
        <v>5250</v>
      </c>
      <c r="F23" s="69">
        <f>322.27</f>
        <v>322.27</v>
      </c>
      <c r="G23" s="69">
        <f>44.7*1.2</f>
        <v>53.64</v>
      </c>
      <c r="H23" s="69"/>
      <c r="I23" s="73"/>
      <c r="J23" s="3"/>
      <c r="K23" s="21">
        <v>45</v>
      </c>
      <c r="L23" s="21"/>
      <c r="M23" s="21"/>
      <c r="N23" s="21"/>
      <c r="O23" s="1"/>
      <c r="P23" s="1"/>
      <c r="Q23" s="29">
        <f t="shared" si="0"/>
        <v>5670.910000000001</v>
      </c>
    </row>
    <row r="24" spans="1:17" ht="13.5" customHeight="1" hidden="1">
      <c r="A24" s="256">
        <v>18</v>
      </c>
      <c r="B24" s="253" t="s">
        <v>18</v>
      </c>
      <c r="C24" s="163"/>
      <c r="D24" s="88"/>
      <c r="E24" s="69"/>
      <c r="F24" s="69">
        <f>343.6+206.53</f>
        <v>550.13</v>
      </c>
      <c r="G24" s="69">
        <f>238.46*1.2</f>
        <v>286.152</v>
      </c>
      <c r="H24" s="69"/>
      <c r="I24" s="73"/>
      <c r="J24" s="3"/>
      <c r="K24" s="21">
        <v>1236</v>
      </c>
      <c r="L24" s="21">
        <v>10052.21</v>
      </c>
      <c r="M24" s="21"/>
      <c r="N24" s="21"/>
      <c r="O24" s="1"/>
      <c r="P24" s="1"/>
      <c r="Q24" s="29">
        <f t="shared" si="0"/>
        <v>12124.491999999998</v>
      </c>
    </row>
    <row r="25" spans="1:17" ht="13.5" customHeight="1" hidden="1">
      <c r="A25" s="256">
        <v>19</v>
      </c>
      <c r="B25" s="253" t="s">
        <v>19</v>
      </c>
      <c r="C25" s="163"/>
      <c r="D25" s="88"/>
      <c r="E25" s="69"/>
      <c r="F25" s="69">
        <f>1670.58+181.9</f>
        <v>1852.48</v>
      </c>
      <c r="G25" s="69">
        <f>44.7*1.2</f>
        <v>53.64</v>
      </c>
      <c r="H25" s="69"/>
      <c r="I25" s="73"/>
      <c r="J25" s="3"/>
      <c r="K25" s="21">
        <v>670</v>
      </c>
      <c r="L25" s="21"/>
      <c r="M25" s="21"/>
      <c r="N25" s="21"/>
      <c r="O25" s="1"/>
      <c r="P25" s="1"/>
      <c r="Q25" s="29">
        <f t="shared" si="0"/>
        <v>2576.12</v>
      </c>
    </row>
    <row r="26" spans="1:17" ht="13.5" customHeight="1" hidden="1">
      <c r="A26" s="256">
        <v>20</v>
      </c>
      <c r="B26" s="253" t="s">
        <v>20</v>
      </c>
      <c r="C26" s="163"/>
      <c r="D26" s="88"/>
      <c r="E26" s="69"/>
      <c r="F26" s="69"/>
      <c r="G26" s="69"/>
      <c r="H26" s="69"/>
      <c r="I26" s="72"/>
      <c r="J26" s="3"/>
      <c r="K26" s="21">
        <v>3202</v>
      </c>
      <c r="L26" s="21"/>
      <c r="M26" s="21"/>
      <c r="N26" s="21"/>
      <c r="O26" s="1"/>
      <c r="P26" s="1"/>
      <c r="Q26" s="29">
        <f t="shared" si="0"/>
        <v>3202</v>
      </c>
    </row>
    <row r="27" spans="1:17" ht="13.5" customHeight="1" hidden="1">
      <c r="A27" s="256">
        <v>21</v>
      </c>
      <c r="B27" s="253" t="s">
        <v>21</v>
      </c>
      <c r="C27" s="163"/>
      <c r="D27" s="88"/>
      <c r="E27" s="69"/>
      <c r="F27" s="69"/>
      <c r="G27" s="69">
        <f>(44.7*1.2)+120</f>
        <v>173.64</v>
      </c>
      <c r="H27" s="69"/>
      <c r="I27" s="73"/>
      <c r="J27" s="3"/>
      <c r="K27" s="21">
        <v>2686</v>
      </c>
      <c r="L27" s="21"/>
      <c r="M27" s="21"/>
      <c r="N27" s="21"/>
      <c r="O27" s="1"/>
      <c r="P27" s="1"/>
      <c r="Q27" s="29">
        <f t="shared" si="0"/>
        <v>2859.64</v>
      </c>
    </row>
    <row r="28" spans="1:17" ht="13.5" customHeight="1" hidden="1">
      <c r="A28" s="256">
        <v>22</v>
      </c>
      <c r="B28" s="253" t="s">
        <v>22</v>
      </c>
      <c r="C28" s="163"/>
      <c r="D28" s="88"/>
      <c r="E28" s="69"/>
      <c r="F28" s="69"/>
      <c r="G28" s="69">
        <f>44.7*1.2</f>
        <v>53.64</v>
      </c>
      <c r="H28" s="69"/>
      <c r="I28" s="73"/>
      <c r="J28" s="3"/>
      <c r="K28" s="21">
        <v>1333</v>
      </c>
      <c r="L28" s="21"/>
      <c r="M28" s="21"/>
      <c r="N28" s="21"/>
      <c r="O28" s="1"/>
      <c r="P28" s="1"/>
      <c r="Q28" s="29">
        <f t="shared" si="0"/>
        <v>1386.64</v>
      </c>
    </row>
    <row r="29" spans="1:17" ht="13.5" customHeight="1" hidden="1">
      <c r="A29" s="256">
        <v>23</v>
      </c>
      <c r="B29" s="253" t="s">
        <v>23</v>
      </c>
      <c r="C29" s="163"/>
      <c r="D29" s="88"/>
      <c r="E29" s="69"/>
      <c r="F29" s="69">
        <f>649.85+78.59</f>
        <v>728.44</v>
      </c>
      <c r="G29" s="69">
        <f>230.69*1.2</f>
        <v>276.828</v>
      </c>
      <c r="H29" s="69"/>
      <c r="I29" s="72"/>
      <c r="J29" s="3"/>
      <c r="K29" s="21">
        <v>1117</v>
      </c>
      <c r="L29" s="21">
        <v>41864.96</v>
      </c>
      <c r="M29" s="21"/>
      <c r="N29" s="21"/>
      <c r="O29" s="1"/>
      <c r="P29" s="1"/>
      <c r="Q29" s="29">
        <f t="shared" si="0"/>
        <v>43987.228</v>
      </c>
    </row>
    <row r="30" spans="1:17" ht="13.5" customHeight="1" hidden="1">
      <c r="A30" s="256">
        <v>24</v>
      </c>
      <c r="B30" s="253" t="s">
        <v>24</v>
      </c>
      <c r="C30" s="163"/>
      <c r="D30" s="88"/>
      <c r="E30" s="69"/>
      <c r="F30" s="69"/>
      <c r="G30" s="70"/>
      <c r="H30" s="70"/>
      <c r="I30" s="72"/>
      <c r="J30" s="3"/>
      <c r="K30" s="21">
        <f>52.06-0.96</f>
        <v>51.1</v>
      </c>
      <c r="L30" s="3"/>
      <c r="M30" s="3"/>
      <c r="N30" s="3"/>
      <c r="O30" s="1"/>
      <c r="P30" s="1"/>
      <c r="Q30" s="29">
        <f t="shared" si="0"/>
        <v>51.1</v>
      </c>
    </row>
    <row r="31" spans="1:17" ht="13.5" customHeight="1" hidden="1">
      <c r="A31" s="256">
        <v>25</v>
      </c>
      <c r="B31" s="253" t="s">
        <v>25</v>
      </c>
      <c r="C31" s="163"/>
      <c r="D31" s="88"/>
      <c r="E31" s="69"/>
      <c r="F31" s="69"/>
      <c r="G31" s="72"/>
      <c r="H31" s="72"/>
      <c r="I31" s="72"/>
      <c r="J31" s="3"/>
      <c r="K31" s="21">
        <v>124</v>
      </c>
      <c r="L31" s="3"/>
      <c r="M31" s="3"/>
      <c r="N31" s="3"/>
      <c r="O31" s="1"/>
      <c r="P31" s="1"/>
      <c r="Q31" s="29">
        <f t="shared" si="0"/>
        <v>124</v>
      </c>
    </row>
    <row r="32" spans="1:17" ht="13.5" customHeight="1" hidden="1">
      <c r="A32" s="256">
        <v>26</v>
      </c>
      <c r="B32" s="253" t="s">
        <v>26</v>
      </c>
      <c r="C32" s="163"/>
      <c r="D32" s="88"/>
      <c r="E32" s="69"/>
      <c r="F32" s="69"/>
      <c r="G32" s="72"/>
      <c r="H32" s="72"/>
      <c r="I32" s="72"/>
      <c r="J32" s="3"/>
      <c r="K32" s="21">
        <v>25</v>
      </c>
      <c r="L32" s="3"/>
      <c r="M32" s="3"/>
      <c r="N32" s="3"/>
      <c r="O32" s="1"/>
      <c r="P32" s="1"/>
      <c r="Q32" s="29">
        <f t="shared" si="0"/>
        <v>25</v>
      </c>
    </row>
    <row r="33" spans="1:17" ht="13.5" customHeight="1" hidden="1">
      <c r="A33" s="256">
        <v>27</v>
      </c>
      <c r="B33" s="253" t="s">
        <v>27</v>
      </c>
      <c r="C33" s="163"/>
      <c r="D33" s="88"/>
      <c r="E33" s="69"/>
      <c r="F33" s="69">
        <f>320.32</f>
        <v>320.32</v>
      </c>
      <c r="G33" s="72"/>
      <c r="H33" s="72"/>
      <c r="I33" s="72"/>
      <c r="J33" s="3"/>
      <c r="K33" s="21">
        <v>819</v>
      </c>
      <c r="L33" s="21">
        <v>190.56</v>
      </c>
      <c r="M33" s="3"/>
      <c r="N33" s="3"/>
      <c r="O33" s="1"/>
      <c r="P33" s="1"/>
      <c r="Q33" s="29">
        <f t="shared" si="0"/>
        <v>1329.8799999999999</v>
      </c>
    </row>
    <row r="34" spans="1:17" ht="13.5" customHeight="1" hidden="1">
      <c r="A34" s="256">
        <v>28</v>
      </c>
      <c r="B34" s="253" t="s">
        <v>28</v>
      </c>
      <c r="C34" s="163"/>
      <c r="D34" s="88"/>
      <c r="E34" s="69"/>
      <c r="F34" s="69"/>
      <c r="G34" s="72"/>
      <c r="H34" s="72"/>
      <c r="I34" s="72"/>
      <c r="J34" s="3"/>
      <c r="K34" s="21">
        <v>31</v>
      </c>
      <c r="L34" s="3"/>
      <c r="M34" s="3"/>
      <c r="N34" s="3"/>
      <c r="O34" s="1"/>
      <c r="P34" s="1"/>
      <c r="Q34" s="29">
        <f t="shared" si="0"/>
        <v>31</v>
      </c>
    </row>
    <row r="35" spans="1:17" ht="13.5" customHeight="1" hidden="1">
      <c r="A35" s="256">
        <v>29</v>
      </c>
      <c r="B35" s="253" t="s">
        <v>29</v>
      </c>
      <c r="C35" s="163"/>
      <c r="D35" s="88"/>
      <c r="E35" s="69"/>
      <c r="F35" s="69"/>
      <c r="G35" s="74"/>
      <c r="H35" s="74"/>
      <c r="I35" s="74"/>
      <c r="J35" s="3"/>
      <c r="K35" s="21">
        <v>147</v>
      </c>
      <c r="L35" s="3"/>
      <c r="M35" s="3"/>
      <c r="N35" s="3"/>
      <c r="O35" s="1"/>
      <c r="P35" s="1"/>
      <c r="Q35" s="29">
        <f t="shared" si="0"/>
        <v>147</v>
      </c>
    </row>
    <row r="36" spans="1:17" ht="13.5" customHeight="1" hidden="1">
      <c r="A36" s="256">
        <v>30</v>
      </c>
      <c r="B36" s="253" t="s">
        <v>37</v>
      </c>
      <c r="C36" s="147"/>
      <c r="D36" s="6"/>
      <c r="E36" s="70"/>
      <c r="F36" s="69"/>
      <c r="G36" s="70">
        <f>44.7*1.2-0.01</f>
        <v>53.63</v>
      </c>
      <c r="H36" s="70"/>
      <c r="I36" s="75"/>
      <c r="J36" s="3"/>
      <c r="K36" s="21"/>
      <c r="L36" s="21"/>
      <c r="M36" s="3"/>
      <c r="N36" s="3"/>
      <c r="O36" s="1"/>
      <c r="P36" s="1"/>
      <c r="Q36" s="29">
        <f t="shared" si="0"/>
        <v>53.63</v>
      </c>
    </row>
    <row r="37" spans="1:17" ht="13.5" customHeight="1" hidden="1" thickBot="1">
      <c r="A37" s="256">
        <v>31</v>
      </c>
      <c r="B37" s="253" t="s">
        <v>36</v>
      </c>
      <c r="C37" s="148"/>
      <c r="D37" s="40"/>
      <c r="E37" s="76"/>
      <c r="F37" s="76">
        <f>58+235.67</f>
        <v>293.66999999999996</v>
      </c>
      <c r="G37" s="82"/>
      <c r="H37" s="82"/>
      <c r="I37" s="78"/>
      <c r="J37" s="42"/>
      <c r="K37" s="43"/>
      <c r="L37" s="44"/>
      <c r="M37" s="42"/>
      <c r="N37" s="42"/>
      <c r="O37" s="45"/>
      <c r="P37" s="43"/>
      <c r="Q37" s="265">
        <f t="shared" si="0"/>
        <v>293.66999999999996</v>
      </c>
    </row>
    <row r="38" spans="1:17" ht="13.5" customHeight="1" hidden="1" thickBot="1">
      <c r="A38" s="254"/>
      <c r="B38" s="292" t="s">
        <v>12</v>
      </c>
      <c r="C38" s="244">
        <f>SUM(C7:C37)</f>
        <v>0</v>
      </c>
      <c r="D38" s="244">
        <f>SUM(D7:D37)</f>
        <v>0</v>
      </c>
      <c r="E38" s="245">
        <f aca="true" t="shared" si="1" ref="E38:P38">SUM(E7:E36)+E37</f>
        <v>47268</v>
      </c>
      <c r="F38" s="245">
        <f>SUM(F7:F36)+F37</f>
        <v>20016.439999999995</v>
      </c>
      <c r="G38" s="245">
        <f t="shared" si="1"/>
        <v>3471.575999999999</v>
      </c>
      <c r="H38" s="245">
        <f t="shared" si="1"/>
        <v>0</v>
      </c>
      <c r="I38" s="245">
        <f t="shared" si="1"/>
        <v>0</v>
      </c>
      <c r="J38" s="245">
        <f t="shared" si="1"/>
        <v>283.8</v>
      </c>
      <c r="K38" s="245">
        <f t="shared" si="1"/>
        <v>73623.1</v>
      </c>
      <c r="L38" s="245">
        <f t="shared" si="1"/>
        <v>149961.94</v>
      </c>
      <c r="M38" s="245">
        <f t="shared" si="1"/>
        <v>0</v>
      </c>
      <c r="N38" s="245">
        <f t="shared" si="1"/>
        <v>56</v>
      </c>
      <c r="O38" s="245">
        <f t="shared" si="1"/>
        <v>0</v>
      </c>
      <c r="P38" s="245">
        <f t="shared" si="1"/>
        <v>0</v>
      </c>
      <c r="Q38" s="266">
        <f>SUM(Q7:Q37)</f>
        <v>294680.85599999997</v>
      </c>
    </row>
    <row r="39" spans="1:17" ht="13.5" customHeight="1" hidden="1" thickBot="1">
      <c r="A39" s="257"/>
      <c r="B39" s="61"/>
      <c r="C39" s="159">
        <v>2110</v>
      </c>
      <c r="D39" s="159">
        <v>2111</v>
      </c>
      <c r="E39" s="159">
        <v>2210</v>
      </c>
      <c r="F39" s="92">
        <v>2230</v>
      </c>
      <c r="G39" s="92">
        <v>2240</v>
      </c>
      <c r="H39" s="92">
        <v>2250</v>
      </c>
      <c r="I39" s="92">
        <v>2271</v>
      </c>
      <c r="J39" s="11">
        <v>2272</v>
      </c>
      <c r="K39" s="11">
        <v>2273</v>
      </c>
      <c r="L39" s="93">
        <v>2274</v>
      </c>
      <c r="M39" s="93">
        <v>2275</v>
      </c>
      <c r="N39" s="93">
        <v>2800</v>
      </c>
      <c r="O39" s="93">
        <v>2730</v>
      </c>
      <c r="P39" s="11">
        <v>2282</v>
      </c>
      <c r="Q39" s="19">
        <f>E38+F38+G38+J38+K38+L38+M38+O38+P38+I38+D38+C38+N38</f>
        <v>294680.856</v>
      </c>
    </row>
    <row r="40" spans="2:17" ht="13.5" customHeight="1" hidden="1">
      <c r="B40" s="51" t="s">
        <v>35</v>
      </c>
      <c r="C40" s="246"/>
      <c r="D40" s="246"/>
      <c r="E40" s="247">
        <v>0</v>
      </c>
      <c r="F40" s="144">
        <f>20016.44</f>
        <v>20016.44</v>
      </c>
      <c r="G40" s="144">
        <f>3471.58</f>
        <v>3471.58</v>
      </c>
      <c r="H40" s="144">
        <v>0</v>
      </c>
      <c r="I40" s="247">
        <v>0</v>
      </c>
      <c r="J40" s="144">
        <f>283.8</f>
        <v>283.8</v>
      </c>
      <c r="K40" s="144">
        <f>54387.04+19236.06</f>
        <v>73623.1</v>
      </c>
      <c r="L40" s="144">
        <f>149961.94</f>
        <v>149961.94</v>
      </c>
      <c r="M40" s="248">
        <v>0</v>
      </c>
      <c r="N40" s="248">
        <f>56</f>
        <v>56</v>
      </c>
      <c r="O40" s="144"/>
      <c r="P40" s="146"/>
      <c r="Q40" s="50">
        <f>SUM(E40:P40)</f>
        <v>247412.86</v>
      </c>
    </row>
    <row r="41" spans="2:17" ht="15.75" hidden="1">
      <c r="B41" s="249" t="s">
        <v>12</v>
      </c>
      <c r="C41" s="243"/>
      <c r="D41" s="243"/>
      <c r="E41" s="250">
        <f aca="true" t="shared" si="2" ref="E41:N41">SUM(E40:E40)</f>
        <v>0</v>
      </c>
      <c r="F41" s="250">
        <f t="shared" si="2"/>
        <v>20016.44</v>
      </c>
      <c r="G41" s="250">
        <f t="shared" si="2"/>
        <v>3471.58</v>
      </c>
      <c r="H41" s="250">
        <f t="shared" si="2"/>
        <v>0</v>
      </c>
      <c r="I41" s="250">
        <f t="shared" si="2"/>
        <v>0</v>
      </c>
      <c r="J41" s="250">
        <f t="shared" si="2"/>
        <v>283.8</v>
      </c>
      <c r="K41" s="250">
        <f t="shared" si="2"/>
        <v>73623.1</v>
      </c>
      <c r="L41" s="250">
        <f t="shared" si="2"/>
        <v>149961.94</v>
      </c>
      <c r="M41" s="250">
        <f t="shared" si="2"/>
        <v>0</v>
      </c>
      <c r="N41" s="250">
        <f t="shared" si="2"/>
        <v>56</v>
      </c>
      <c r="O41" s="250"/>
      <c r="P41" s="250"/>
      <c r="Q41" s="250">
        <f>SUM(C41:P41)</f>
        <v>247412.86</v>
      </c>
    </row>
    <row r="42" spans="2:17" ht="60.75" customHeight="1" hidden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2:17" ht="19.5" hidden="1" thickBot="1">
      <c r="B43" s="359" t="s">
        <v>40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</row>
    <row r="44" spans="1:17" ht="13.5" hidden="1" thickBot="1">
      <c r="A44" s="254"/>
      <c r="B44" s="291" t="s">
        <v>31</v>
      </c>
      <c r="C44" s="307">
        <v>2110</v>
      </c>
      <c r="D44" s="307">
        <v>2111</v>
      </c>
      <c r="E44" s="307">
        <v>2210</v>
      </c>
      <c r="F44" s="308">
        <v>2230</v>
      </c>
      <c r="G44" s="308">
        <v>2240</v>
      </c>
      <c r="H44" s="308">
        <v>2250</v>
      </c>
      <c r="I44" s="308">
        <v>2271</v>
      </c>
      <c r="J44" s="309">
        <v>2272</v>
      </c>
      <c r="K44" s="309">
        <v>2273</v>
      </c>
      <c r="L44" s="310">
        <v>2274</v>
      </c>
      <c r="M44" s="310">
        <v>2275</v>
      </c>
      <c r="N44" s="310">
        <v>2800</v>
      </c>
      <c r="O44" s="310">
        <v>2730</v>
      </c>
      <c r="P44" s="311">
        <v>2282</v>
      </c>
      <c r="Q44" s="263" t="s">
        <v>30</v>
      </c>
    </row>
    <row r="45" spans="1:17" ht="12.75" hidden="1">
      <c r="A45" s="279">
        <v>1</v>
      </c>
      <c r="B45" s="276" t="s">
        <v>0</v>
      </c>
      <c r="C45" s="170"/>
      <c r="D45" s="66"/>
      <c r="E45" s="199"/>
      <c r="F45" s="199">
        <f>2335.9+356.26</f>
        <v>2692.16</v>
      </c>
      <c r="G45" s="66">
        <f>139+80.9+102.07</f>
        <v>321.97</v>
      </c>
      <c r="H45" s="66"/>
      <c r="I45" s="68"/>
      <c r="J45" s="161"/>
      <c r="K45" s="20">
        <v>1024</v>
      </c>
      <c r="L45" s="37"/>
      <c r="M45" s="20"/>
      <c r="N45" s="20">
        <f>10.16</f>
        <v>10.16</v>
      </c>
      <c r="O45" s="37"/>
      <c r="P45" s="273"/>
      <c r="Q45" s="267">
        <f aca="true" t="shared" si="3" ref="Q45:Q75">SUM(E45:P45)</f>
        <v>4048.29</v>
      </c>
    </row>
    <row r="46" spans="1:17" ht="12.75" hidden="1">
      <c r="A46" s="280">
        <v>2</v>
      </c>
      <c r="B46" s="277" t="s">
        <v>1</v>
      </c>
      <c r="C46" s="81"/>
      <c r="D46" s="70"/>
      <c r="E46" s="88">
        <f>6499+(3500*1.2)</f>
        <v>10699</v>
      </c>
      <c r="F46" s="211">
        <f>3587.73+948.61</f>
        <v>4536.34</v>
      </c>
      <c r="G46" s="69">
        <f>135+80.9</f>
        <v>215.9</v>
      </c>
      <c r="H46" s="69"/>
      <c r="I46" s="70"/>
      <c r="J46" s="3"/>
      <c r="K46" s="21">
        <v>3276</v>
      </c>
      <c r="L46" s="21">
        <v>62136.35</v>
      </c>
      <c r="M46" s="21"/>
      <c r="N46" s="21">
        <f>10.17</f>
        <v>10.17</v>
      </c>
      <c r="O46" s="3"/>
      <c r="P46" s="274"/>
      <c r="Q46" s="268">
        <f t="shared" si="3"/>
        <v>80873.76</v>
      </c>
    </row>
    <row r="47" spans="1:17" ht="12.75" hidden="1">
      <c r="A47" s="280">
        <v>3</v>
      </c>
      <c r="B47" s="277" t="s">
        <v>2</v>
      </c>
      <c r="C47" s="81"/>
      <c r="D47" s="70"/>
      <c r="E47" s="88">
        <f>1680.28+(2625*1.2)</f>
        <v>4830.28</v>
      </c>
      <c r="F47" s="211">
        <f>5327.85</f>
        <v>5327.85</v>
      </c>
      <c r="G47" s="69">
        <f>80.9+93.51+250+229</f>
        <v>653.4100000000001</v>
      </c>
      <c r="H47" s="69">
        <f>225.6+123.34+119.98+119.12</f>
        <v>588.04</v>
      </c>
      <c r="I47" s="69"/>
      <c r="J47" s="3"/>
      <c r="K47" s="21">
        <v>13280</v>
      </c>
      <c r="L47" s="21"/>
      <c r="M47" s="21"/>
      <c r="N47" s="21">
        <v>18.4</v>
      </c>
      <c r="O47" s="3"/>
      <c r="P47" s="274"/>
      <c r="Q47" s="268">
        <f t="shared" si="3"/>
        <v>24697.980000000003</v>
      </c>
    </row>
    <row r="48" spans="1:17" ht="12.75" hidden="1">
      <c r="A48" s="280">
        <v>4</v>
      </c>
      <c r="B48" s="277" t="s">
        <v>3</v>
      </c>
      <c r="C48" s="154"/>
      <c r="D48" s="70"/>
      <c r="E48" s="88"/>
      <c r="F48" s="211">
        <f>2172.43</f>
        <v>2172.43</v>
      </c>
      <c r="G48" s="69">
        <f>149+149+80.9</f>
        <v>378.9</v>
      </c>
      <c r="H48" s="69"/>
      <c r="I48" s="69"/>
      <c r="J48" s="3"/>
      <c r="K48" s="21">
        <v>2524</v>
      </c>
      <c r="L48" s="21">
        <v>47881.81</v>
      </c>
      <c r="M48" s="21"/>
      <c r="N48" s="21">
        <f>10.16</f>
        <v>10.16</v>
      </c>
      <c r="O48" s="3"/>
      <c r="P48" s="274"/>
      <c r="Q48" s="268">
        <f t="shared" si="3"/>
        <v>52967.3</v>
      </c>
    </row>
    <row r="49" spans="1:17" ht="12.75" hidden="1">
      <c r="A49" s="280">
        <v>5</v>
      </c>
      <c r="B49" s="277" t="s">
        <v>4</v>
      </c>
      <c r="C49" s="154"/>
      <c r="D49" s="70"/>
      <c r="E49" s="88"/>
      <c r="F49" s="211">
        <f>891.7</f>
        <v>891.7</v>
      </c>
      <c r="G49" s="69">
        <f>80.9</f>
        <v>80.9</v>
      </c>
      <c r="H49" s="69"/>
      <c r="I49" s="69"/>
      <c r="J49" s="3"/>
      <c r="K49" s="21">
        <v>3348</v>
      </c>
      <c r="L49" s="21"/>
      <c r="M49" s="21"/>
      <c r="N49" s="21">
        <f>10.17</f>
        <v>10.17</v>
      </c>
      <c r="O49" s="3"/>
      <c r="P49" s="274"/>
      <c r="Q49" s="268">
        <f t="shared" si="3"/>
        <v>4330.77</v>
      </c>
    </row>
    <row r="50" spans="1:17" ht="12.75" hidden="1">
      <c r="A50" s="280">
        <v>6</v>
      </c>
      <c r="B50" s="277" t="s">
        <v>5</v>
      </c>
      <c r="C50" s="81"/>
      <c r="D50" s="70"/>
      <c r="E50" s="88">
        <f>485+(7875*1.2)</f>
        <v>9935</v>
      </c>
      <c r="F50" s="211">
        <f>9076.25+2451.13</f>
        <v>11527.380000000001</v>
      </c>
      <c r="G50" s="69">
        <f>308.03+527.06+583.2</f>
        <v>1418.29</v>
      </c>
      <c r="H50" s="69"/>
      <c r="I50" s="69"/>
      <c r="J50" s="21">
        <f>2201.47+2250.61+3816.96+3902.16</f>
        <v>12171.2</v>
      </c>
      <c r="K50" s="21">
        <v>21175.66</v>
      </c>
      <c r="L50" s="21"/>
      <c r="M50" s="21"/>
      <c r="N50" s="21">
        <f>0.04+10.16</f>
        <v>10.2</v>
      </c>
      <c r="O50" s="3"/>
      <c r="P50" s="274"/>
      <c r="Q50" s="268">
        <f t="shared" si="3"/>
        <v>56237.729999999996</v>
      </c>
    </row>
    <row r="51" spans="1:17" ht="12.75" hidden="1">
      <c r="A51" s="280">
        <v>7</v>
      </c>
      <c r="B51" s="277" t="s">
        <v>6</v>
      </c>
      <c r="C51" s="154"/>
      <c r="D51" s="70"/>
      <c r="E51" s="88"/>
      <c r="F51" s="211">
        <f>1880.28</f>
        <v>1880.28</v>
      </c>
      <c r="G51" s="69">
        <f>80+200+70.77</f>
        <v>350.77</v>
      </c>
      <c r="H51" s="69"/>
      <c r="I51" s="69"/>
      <c r="J51" s="28">
        <f>662.2</f>
        <v>662.2</v>
      </c>
      <c r="K51" s="21">
        <v>6394</v>
      </c>
      <c r="L51" s="28"/>
      <c r="M51" s="21">
        <v>4994.22</v>
      </c>
      <c r="N51" s="21">
        <f>10.17</f>
        <v>10.17</v>
      </c>
      <c r="O51" s="3"/>
      <c r="P51" s="274"/>
      <c r="Q51" s="268">
        <f t="shared" si="3"/>
        <v>14291.640000000001</v>
      </c>
    </row>
    <row r="52" spans="1:17" ht="12.75" hidden="1">
      <c r="A52" s="280">
        <v>8</v>
      </c>
      <c r="B52" s="277" t="s">
        <v>7</v>
      </c>
      <c r="C52" s="154"/>
      <c r="D52" s="70"/>
      <c r="E52" s="88"/>
      <c r="F52" s="211">
        <f>962.56</f>
        <v>962.56</v>
      </c>
      <c r="G52" s="69">
        <f>229+90.59</f>
        <v>319.59000000000003</v>
      </c>
      <c r="H52" s="69"/>
      <c r="I52" s="70"/>
      <c r="J52" s="21">
        <f>442.9</f>
        <v>442.9</v>
      </c>
      <c r="K52" s="21">
        <v>8479</v>
      </c>
      <c r="L52" s="28"/>
      <c r="M52" s="21"/>
      <c r="N52" s="21">
        <f>10.16</f>
        <v>10.16</v>
      </c>
      <c r="O52" s="3"/>
      <c r="P52" s="274"/>
      <c r="Q52" s="268">
        <f t="shared" si="3"/>
        <v>10214.21</v>
      </c>
    </row>
    <row r="53" spans="1:17" ht="12.75" hidden="1">
      <c r="A53" s="280">
        <v>9</v>
      </c>
      <c r="B53" s="277" t="s">
        <v>8</v>
      </c>
      <c r="C53" s="154"/>
      <c r="D53" s="70"/>
      <c r="E53" s="69"/>
      <c r="F53" s="211">
        <f>2049.9</f>
        <v>2049.9</v>
      </c>
      <c r="G53" s="69">
        <f>80.9+80.9+153.97</f>
        <v>315.77</v>
      </c>
      <c r="H53" s="69"/>
      <c r="I53" s="70"/>
      <c r="J53" s="21"/>
      <c r="K53" s="21">
        <v>4113</v>
      </c>
      <c r="L53" s="28"/>
      <c r="M53" s="21"/>
      <c r="N53" s="21">
        <f>10.17</f>
        <v>10.17</v>
      </c>
      <c r="O53" s="3"/>
      <c r="P53" s="274"/>
      <c r="Q53" s="268">
        <f t="shared" si="3"/>
        <v>6488.84</v>
      </c>
    </row>
    <row r="54" spans="1:17" ht="12.75" hidden="1">
      <c r="A54" s="280">
        <v>10</v>
      </c>
      <c r="B54" s="277" t="s">
        <v>9</v>
      </c>
      <c r="C54" s="81"/>
      <c r="D54" s="70"/>
      <c r="E54" s="69">
        <f>4550*1.2</f>
        <v>5460</v>
      </c>
      <c r="F54" s="211">
        <f>3987.15</f>
        <v>3987.15</v>
      </c>
      <c r="G54" s="69">
        <f>100+100+80.9</f>
        <v>280.9</v>
      </c>
      <c r="H54" s="69"/>
      <c r="I54" s="69"/>
      <c r="J54" s="21"/>
      <c r="K54" s="21">
        <v>4356</v>
      </c>
      <c r="L54" s="21">
        <v>62541.64</v>
      </c>
      <c r="M54" s="21"/>
      <c r="N54" s="21">
        <f>10.16</f>
        <v>10.16</v>
      </c>
      <c r="O54" s="3"/>
      <c r="P54" s="274"/>
      <c r="Q54" s="268">
        <f t="shared" si="3"/>
        <v>76635.85</v>
      </c>
    </row>
    <row r="55" spans="1:17" ht="12.75" hidden="1">
      <c r="A55" s="280">
        <v>11</v>
      </c>
      <c r="B55" s="277" t="s">
        <v>10</v>
      </c>
      <c r="C55" s="154"/>
      <c r="D55" s="70"/>
      <c r="E55" s="69"/>
      <c r="F55" s="211">
        <f>1997.99</f>
        <v>1997.99</v>
      </c>
      <c r="G55" s="69">
        <f>139+83.54</f>
        <v>222.54000000000002</v>
      </c>
      <c r="H55" s="69"/>
      <c r="I55" s="69"/>
      <c r="J55" s="21">
        <v>583.94</v>
      </c>
      <c r="K55" s="21">
        <v>1407</v>
      </c>
      <c r="L55" s="28"/>
      <c r="M55" s="28"/>
      <c r="N55" s="28">
        <f>10.17</f>
        <v>10.17</v>
      </c>
      <c r="O55" s="3"/>
      <c r="P55" s="274"/>
      <c r="Q55" s="268">
        <f t="shared" si="3"/>
        <v>4221.64</v>
      </c>
    </row>
    <row r="56" spans="1:17" ht="12.75" hidden="1">
      <c r="A56" s="280">
        <v>12</v>
      </c>
      <c r="B56" s="277" t="s">
        <v>11</v>
      </c>
      <c r="C56" s="154"/>
      <c r="D56" s="70"/>
      <c r="E56" s="69">
        <f>2625*1.2</f>
        <v>3150</v>
      </c>
      <c r="F56" s="211">
        <f>4214.35</f>
        <v>4214.35</v>
      </c>
      <c r="G56" s="69">
        <f>80.9+229+229</f>
        <v>538.9</v>
      </c>
      <c r="H56" s="69">
        <f>1162.5+134.05</f>
        <v>1296.55</v>
      </c>
      <c r="I56" s="70"/>
      <c r="J56" s="21"/>
      <c r="K56" s="21">
        <v>7673</v>
      </c>
      <c r="L56" s="21">
        <f>85967.25+61754.59</f>
        <v>147721.84</v>
      </c>
      <c r="M56" s="28"/>
      <c r="N56" s="28">
        <v>18.41</v>
      </c>
      <c r="O56" s="3"/>
      <c r="P56" s="274"/>
      <c r="Q56" s="268">
        <f t="shared" si="3"/>
        <v>164613.05</v>
      </c>
    </row>
    <row r="57" spans="1:17" ht="12.75" hidden="1">
      <c r="A57" s="280">
        <v>13</v>
      </c>
      <c r="B57" s="277" t="s">
        <v>13</v>
      </c>
      <c r="C57" s="154"/>
      <c r="D57" s="70"/>
      <c r="E57" s="69"/>
      <c r="F57" s="211"/>
      <c r="G57" s="69">
        <f>55.36</f>
        <v>55.36</v>
      </c>
      <c r="H57" s="69"/>
      <c r="I57" s="69"/>
      <c r="J57" s="21"/>
      <c r="K57" s="21">
        <v>1706</v>
      </c>
      <c r="L57" s="28">
        <v>34727.34</v>
      </c>
      <c r="M57" s="28"/>
      <c r="N57" s="21">
        <f>10.16</f>
        <v>10.16</v>
      </c>
      <c r="O57" s="3"/>
      <c r="P57" s="274"/>
      <c r="Q57" s="268">
        <f t="shared" si="3"/>
        <v>36498.86</v>
      </c>
    </row>
    <row r="58" spans="1:17" ht="12.75" hidden="1">
      <c r="A58" s="280">
        <v>14</v>
      </c>
      <c r="B58" s="277" t="s">
        <v>14</v>
      </c>
      <c r="C58" s="154"/>
      <c r="D58" s="70"/>
      <c r="E58" s="69">
        <f>1245+(2905*1.2)</f>
        <v>4731</v>
      </c>
      <c r="F58" s="211">
        <f>1834.63</f>
        <v>1834.63</v>
      </c>
      <c r="G58" s="69">
        <f>583.2+80.9</f>
        <v>664.1</v>
      </c>
      <c r="H58" s="69"/>
      <c r="I58" s="70"/>
      <c r="J58" s="21">
        <f>266.6</f>
        <v>266.6</v>
      </c>
      <c r="K58" s="21">
        <v>2021</v>
      </c>
      <c r="L58" s="28"/>
      <c r="M58" s="28"/>
      <c r="N58" s="21">
        <f>10.17</f>
        <v>10.17</v>
      </c>
      <c r="O58" s="3"/>
      <c r="P58" s="274"/>
      <c r="Q58" s="268">
        <f t="shared" si="3"/>
        <v>9527.500000000002</v>
      </c>
    </row>
    <row r="59" spans="1:17" ht="12.75" hidden="1">
      <c r="A59" s="280">
        <v>15</v>
      </c>
      <c r="B59" s="277" t="s">
        <v>15</v>
      </c>
      <c r="C59" s="154"/>
      <c r="D59" s="70"/>
      <c r="E59" s="69"/>
      <c r="F59" s="211">
        <f>410.96</f>
        <v>410.96</v>
      </c>
      <c r="G59" s="69">
        <f>139+139+139+80.9</f>
        <v>497.9</v>
      </c>
      <c r="H59" s="69"/>
      <c r="I59" s="69"/>
      <c r="J59" s="28"/>
      <c r="K59" s="21">
        <v>2087</v>
      </c>
      <c r="L59" s="28"/>
      <c r="M59" s="21"/>
      <c r="N59" s="21">
        <f>10.16</f>
        <v>10.16</v>
      </c>
      <c r="O59" s="3"/>
      <c r="P59" s="274"/>
      <c r="Q59" s="268">
        <f t="shared" si="3"/>
        <v>3006.0199999999995</v>
      </c>
    </row>
    <row r="60" spans="1:17" ht="12.75" hidden="1">
      <c r="A60" s="280">
        <v>16</v>
      </c>
      <c r="B60" s="277" t="s">
        <v>16</v>
      </c>
      <c r="C60" s="154"/>
      <c r="D60" s="70"/>
      <c r="E60" s="69"/>
      <c r="F60" s="211">
        <f>2442.16</f>
        <v>2442.16</v>
      </c>
      <c r="G60" s="69">
        <f>80.9</f>
        <v>80.9</v>
      </c>
      <c r="H60" s="69"/>
      <c r="I60" s="70"/>
      <c r="J60" s="3"/>
      <c r="K60" s="21">
        <v>3581</v>
      </c>
      <c r="L60" s="28"/>
      <c r="M60" s="21"/>
      <c r="N60" s="21">
        <v>18.41</v>
      </c>
      <c r="O60" s="3"/>
      <c r="P60" s="274"/>
      <c r="Q60" s="268">
        <f t="shared" si="3"/>
        <v>6122.469999999999</v>
      </c>
    </row>
    <row r="61" spans="1:17" ht="12.75" hidden="1">
      <c r="A61" s="280">
        <v>17</v>
      </c>
      <c r="B61" s="277" t="s">
        <v>17</v>
      </c>
      <c r="C61" s="154"/>
      <c r="D61" s="70"/>
      <c r="E61" s="69">
        <f>3500*1.2</f>
        <v>4200</v>
      </c>
      <c r="F61" s="211">
        <f>972.45</f>
        <v>972.45</v>
      </c>
      <c r="G61" s="69">
        <f>100+100+583.2+80.9</f>
        <v>864.1</v>
      </c>
      <c r="H61" s="69"/>
      <c r="I61" s="69"/>
      <c r="J61" s="3"/>
      <c r="K61" s="21">
        <v>3872</v>
      </c>
      <c r="L61" s="28"/>
      <c r="M61" s="21"/>
      <c r="N61" s="21">
        <f>10.17</f>
        <v>10.17</v>
      </c>
      <c r="O61" s="3"/>
      <c r="P61" s="274"/>
      <c r="Q61" s="268">
        <f t="shared" si="3"/>
        <v>9918.72</v>
      </c>
    </row>
    <row r="62" spans="1:17" ht="12.75" hidden="1">
      <c r="A62" s="280">
        <v>18</v>
      </c>
      <c r="B62" s="277" t="s">
        <v>18</v>
      </c>
      <c r="C62" s="154"/>
      <c r="D62" s="70"/>
      <c r="E62" s="69"/>
      <c r="F62" s="211">
        <f>890.59+271.18</f>
        <v>1161.77</v>
      </c>
      <c r="G62" s="69">
        <f>84.23+153.97</f>
        <v>238.2</v>
      </c>
      <c r="H62" s="69"/>
      <c r="I62" s="69"/>
      <c r="J62" s="28">
        <v>505.25</v>
      </c>
      <c r="K62" s="21">
        <v>2696</v>
      </c>
      <c r="L62" s="21">
        <v>38386.51</v>
      </c>
      <c r="M62" s="21"/>
      <c r="N62" s="21">
        <f>10.16</f>
        <v>10.16</v>
      </c>
      <c r="O62" s="3"/>
      <c r="P62" s="274"/>
      <c r="Q62" s="268">
        <f t="shared" si="3"/>
        <v>42997.89000000001</v>
      </c>
    </row>
    <row r="63" spans="1:17" ht="12.75" hidden="1">
      <c r="A63" s="280">
        <v>19</v>
      </c>
      <c r="B63" s="277" t="s">
        <v>19</v>
      </c>
      <c r="C63" s="154"/>
      <c r="D63" s="70"/>
      <c r="E63" s="69"/>
      <c r="F63" s="211">
        <f>1935.04+198.54</f>
        <v>2133.58</v>
      </c>
      <c r="G63" s="69">
        <f>80.91</f>
        <v>80.91</v>
      </c>
      <c r="H63" s="69"/>
      <c r="I63" s="69"/>
      <c r="J63" s="3"/>
      <c r="K63" s="21">
        <v>1223</v>
      </c>
      <c r="L63" s="28"/>
      <c r="M63" s="3"/>
      <c r="N63" s="21">
        <f>10.17</f>
        <v>10.17</v>
      </c>
      <c r="O63" s="3"/>
      <c r="P63" s="274"/>
      <c r="Q63" s="268">
        <f t="shared" si="3"/>
        <v>3447.66</v>
      </c>
    </row>
    <row r="64" spans="1:17" ht="12.75" hidden="1">
      <c r="A64" s="280">
        <v>20</v>
      </c>
      <c r="B64" s="277" t="s">
        <v>20</v>
      </c>
      <c r="C64" s="154"/>
      <c r="D64" s="70"/>
      <c r="E64" s="69"/>
      <c r="F64" s="211">
        <f>412.53</f>
        <v>412.53</v>
      </c>
      <c r="G64" s="69">
        <f>17.08-0.02</f>
        <v>17.06</v>
      </c>
      <c r="H64" s="69"/>
      <c r="I64" s="70"/>
      <c r="J64" s="3"/>
      <c r="K64" s="21">
        <v>6829</v>
      </c>
      <c r="L64" s="28"/>
      <c r="M64" s="3"/>
      <c r="N64" s="21">
        <f>10.16</f>
        <v>10.16</v>
      </c>
      <c r="O64" s="3"/>
      <c r="P64" s="274"/>
      <c r="Q64" s="268">
        <f t="shared" si="3"/>
        <v>7268.75</v>
      </c>
    </row>
    <row r="65" spans="1:17" ht="12.75" hidden="1">
      <c r="A65" s="280">
        <v>21</v>
      </c>
      <c r="B65" s="277" t="s">
        <v>21</v>
      </c>
      <c r="C65" s="154"/>
      <c r="D65" s="70"/>
      <c r="E65" s="69"/>
      <c r="F65" s="211">
        <f>107</f>
        <v>107</v>
      </c>
      <c r="G65" s="69">
        <f>120+80.91</f>
        <v>200.91</v>
      </c>
      <c r="H65" s="69"/>
      <c r="I65" s="69"/>
      <c r="J65" s="21">
        <f>107.5</f>
        <v>107.5</v>
      </c>
      <c r="K65" s="21">
        <v>3317</v>
      </c>
      <c r="L65" s="28"/>
      <c r="M65" s="21"/>
      <c r="N65" s="21">
        <f>10.17</f>
        <v>10.17</v>
      </c>
      <c r="O65" s="3"/>
      <c r="P65" s="274"/>
      <c r="Q65" s="268">
        <f t="shared" si="3"/>
        <v>3742.58</v>
      </c>
    </row>
    <row r="66" spans="1:17" ht="12.75" hidden="1">
      <c r="A66" s="280">
        <v>22</v>
      </c>
      <c r="B66" s="277" t="s">
        <v>22</v>
      </c>
      <c r="C66" s="81"/>
      <c r="D66" s="70"/>
      <c r="E66" s="69"/>
      <c r="F66" s="211">
        <v>1203.51</v>
      </c>
      <c r="G66" s="69">
        <f>80.91</f>
        <v>80.91</v>
      </c>
      <c r="H66" s="69">
        <f>182.4</f>
        <v>182.4</v>
      </c>
      <c r="I66" s="69"/>
      <c r="J66" s="3"/>
      <c r="K66" s="21">
        <v>2440</v>
      </c>
      <c r="L66" s="28"/>
      <c r="M66" s="21"/>
      <c r="N66" s="21">
        <v>18.41</v>
      </c>
      <c r="O66" s="3"/>
      <c r="P66" s="274"/>
      <c r="Q66" s="268">
        <f t="shared" si="3"/>
        <v>3925.23</v>
      </c>
    </row>
    <row r="67" spans="1:17" ht="12.75" hidden="1">
      <c r="A67" s="280">
        <v>23</v>
      </c>
      <c r="B67" s="277" t="s">
        <v>23</v>
      </c>
      <c r="C67" s="154"/>
      <c r="D67" s="70"/>
      <c r="E67" s="69"/>
      <c r="F67" s="211">
        <f>1127.37+169.07</f>
        <v>1296.4399999999998</v>
      </c>
      <c r="G67" s="69">
        <f>93.93+153.97</f>
        <v>247.9</v>
      </c>
      <c r="H67" s="69"/>
      <c r="I67" s="70"/>
      <c r="J67" s="3"/>
      <c r="K67" s="21">
        <v>818</v>
      </c>
      <c r="L67" s="28">
        <f>20438.06-0.01</f>
        <v>20438.050000000003</v>
      </c>
      <c r="M67" s="3"/>
      <c r="N67" s="28">
        <v>10.16</v>
      </c>
      <c r="O67" s="3"/>
      <c r="P67" s="274"/>
      <c r="Q67" s="268">
        <f t="shared" si="3"/>
        <v>22810.550000000003</v>
      </c>
    </row>
    <row r="68" spans="1:17" ht="12.75" hidden="1">
      <c r="A68" s="280">
        <v>24</v>
      </c>
      <c r="B68" s="277" t="s">
        <v>24</v>
      </c>
      <c r="C68" s="154"/>
      <c r="D68" s="70"/>
      <c r="E68" s="69"/>
      <c r="F68" s="211"/>
      <c r="G68" s="69"/>
      <c r="H68" s="69"/>
      <c r="I68" s="70"/>
      <c r="J68" s="3"/>
      <c r="K68" s="21">
        <v>189</v>
      </c>
      <c r="L68" s="3"/>
      <c r="M68" s="3"/>
      <c r="N68" s="21">
        <v>18.41</v>
      </c>
      <c r="O68" s="3"/>
      <c r="P68" s="274"/>
      <c r="Q68" s="268">
        <f t="shared" si="3"/>
        <v>207.41</v>
      </c>
    </row>
    <row r="69" spans="1:17" ht="12.75" hidden="1">
      <c r="A69" s="280">
        <v>25</v>
      </c>
      <c r="B69" s="277" t="s">
        <v>25</v>
      </c>
      <c r="C69" s="154"/>
      <c r="D69" s="70"/>
      <c r="E69" s="69"/>
      <c r="F69" s="211"/>
      <c r="G69" s="69"/>
      <c r="H69" s="69"/>
      <c r="I69" s="70"/>
      <c r="J69" s="3"/>
      <c r="K69" s="21">
        <v>153</v>
      </c>
      <c r="L69" s="3"/>
      <c r="M69" s="21"/>
      <c r="N69" s="21">
        <f>10.17</f>
        <v>10.17</v>
      </c>
      <c r="O69" s="3"/>
      <c r="P69" s="274"/>
      <c r="Q69" s="268">
        <f t="shared" si="3"/>
        <v>163.17</v>
      </c>
    </row>
    <row r="70" spans="1:17" ht="12.75" hidden="1">
      <c r="A70" s="280">
        <v>26</v>
      </c>
      <c r="B70" s="277" t="s">
        <v>26</v>
      </c>
      <c r="C70" s="81"/>
      <c r="D70" s="70"/>
      <c r="E70" s="69"/>
      <c r="F70" s="211"/>
      <c r="G70" s="69"/>
      <c r="H70" s="69"/>
      <c r="I70" s="72"/>
      <c r="J70" s="3"/>
      <c r="K70" s="21">
        <v>77</v>
      </c>
      <c r="L70" s="3"/>
      <c r="M70" s="3"/>
      <c r="N70" s="21">
        <f>10.16</f>
        <v>10.16</v>
      </c>
      <c r="O70" s="3"/>
      <c r="P70" s="274"/>
      <c r="Q70" s="268">
        <f t="shared" si="3"/>
        <v>87.16</v>
      </c>
    </row>
    <row r="71" spans="1:17" ht="12.75" hidden="1">
      <c r="A71" s="280">
        <v>27</v>
      </c>
      <c r="B71" s="277" t="s">
        <v>27</v>
      </c>
      <c r="C71" s="154"/>
      <c r="D71" s="70"/>
      <c r="E71" s="69"/>
      <c r="F71" s="211">
        <f>788.34</f>
        <v>788.34</v>
      </c>
      <c r="G71" s="69"/>
      <c r="H71" s="69"/>
      <c r="I71" s="72"/>
      <c r="J71" s="3"/>
      <c r="K71" s="21">
        <v>1115</v>
      </c>
      <c r="L71" s="28">
        <v>1354.82</v>
      </c>
      <c r="M71" s="3"/>
      <c r="N71" s="21">
        <f>10.17</f>
        <v>10.17</v>
      </c>
      <c r="O71" s="3"/>
      <c r="P71" s="274"/>
      <c r="Q71" s="268">
        <f t="shared" si="3"/>
        <v>3268.33</v>
      </c>
    </row>
    <row r="72" spans="1:17" ht="12.75" hidden="1">
      <c r="A72" s="280">
        <v>28</v>
      </c>
      <c r="B72" s="277" t="s">
        <v>28</v>
      </c>
      <c r="C72" s="154"/>
      <c r="D72" s="70"/>
      <c r="E72" s="69"/>
      <c r="F72" s="69"/>
      <c r="G72" s="69"/>
      <c r="H72" s="69"/>
      <c r="I72" s="72"/>
      <c r="J72" s="3"/>
      <c r="K72" s="21">
        <v>56</v>
      </c>
      <c r="L72" s="3"/>
      <c r="M72" s="3"/>
      <c r="N72" s="28">
        <v>10.16</v>
      </c>
      <c r="O72" s="3"/>
      <c r="P72" s="274"/>
      <c r="Q72" s="268">
        <f t="shared" si="3"/>
        <v>66.16</v>
      </c>
    </row>
    <row r="73" spans="1:17" ht="12.75" hidden="1">
      <c r="A73" s="280">
        <v>29</v>
      </c>
      <c r="B73" s="277" t="s">
        <v>29</v>
      </c>
      <c r="C73" s="154"/>
      <c r="D73" s="70"/>
      <c r="E73" s="69"/>
      <c r="F73" s="69"/>
      <c r="G73" s="69"/>
      <c r="H73" s="69"/>
      <c r="I73" s="74"/>
      <c r="J73" s="3"/>
      <c r="K73" s="21">
        <v>148</v>
      </c>
      <c r="L73" s="3"/>
      <c r="M73" s="3"/>
      <c r="N73" s="28">
        <v>10.17</v>
      </c>
      <c r="O73" s="3"/>
      <c r="P73" s="274"/>
      <c r="Q73" s="268">
        <f t="shared" si="3"/>
        <v>158.17</v>
      </c>
    </row>
    <row r="74" spans="1:17" ht="12.75" hidden="1">
      <c r="A74" s="280">
        <v>30</v>
      </c>
      <c r="B74" s="277" t="s">
        <v>37</v>
      </c>
      <c r="C74" s="154"/>
      <c r="D74" s="70"/>
      <c r="E74" s="70"/>
      <c r="F74" s="69"/>
      <c r="G74" s="70">
        <f>80.91</f>
        <v>80.91</v>
      </c>
      <c r="H74" s="74"/>
      <c r="I74" s="75"/>
      <c r="J74" s="3"/>
      <c r="K74" s="21"/>
      <c r="L74" s="83"/>
      <c r="M74" s="3"/>
      <c r="N74" s="3"/>
      <c r="O74" s="3"/>
      <c r="P74" s="274"/>
      <c r="Q74" s="268">
        <f t="shared" si="3"/>
        <v>80.91</v>
      </c>
    </row>
    <row r="75" spans="1:17" ht="13.5" hidden="1" thickBot="1">
      <c r="A75" s="281">
        <v>31</v>
      </c>
      <c r="B75" s="278" t="s">
        <v>36</v>
      </c>
      <c r="C75" s="155"/>
      <c r="D75" s="82"/>
      <c r="E75" s="82"/>
      <c r="F75" s="76">
        <f>649.24+358.7</f>
        <v>1007.94</v>
      </c>
      <c r="G75" s="77"/>
      <c r="H75" s="77"/>
      <c r="I75" s="78"/>
      <c r="J75" s="42"/>
      <c r="K75" s="43"/>
      <c r="L75" s="84"/>
      <c r="M75" s="42"/>
      <c r="N75" s="42"/>
      <c r="O75" s="42"/>
      <c r="P75" s="275"/>
      <c r="Q75" s="268">
        <f t="shared" si="3"/>
        <v>1007.94</v>
      </c>
    </row>
    <row r="76" spans="1:17" ht="13.5" hidden="1" thickBot="1">
      <c r="A76" s="259"/>
      <c r="B76" s="290" t="s">
        <v>12</v>
      </c>
      <c r="C76" s="269">
        <f>SUM(C45:C75)</f>
        <v>0</v>
      </c>
      <c r="D76" s="269">
        <f>SUM(D45:D75)</f>
        <v>0</v>
      </c>
      <c r="E76" s="270">
        <f>SUM(E45:E74)+E75</f>
        <v>43005.28</v>
      </c>
      <c r="F76" s="271">
        <f>SUM(F45:F74)+F75</f>
        <v>56011.399999999994</v>
      </c>
      <c r="G76" s="271">
        <f>SUM(G45:G74)</f>
        <v>8207</v>
      </c>
      <c r="H76" s="271">
        <f>SUM(H45:H74)</f>
        <v>2066.99</v>
      </c>
      <c r="I76" s="271">
        <f>SUM(I45:I74)</f>
        <v>0</v>
      </c>
      <c r="J76" s="271">
        <f>SUM(J45:J74)</f>
        <v>14739.590000000002</v>
      </c>
      <c r="K76" s="271">
        <f>SUM(K45:K74)+K75</f>
        <v>109377.66</v>
      </c>
      <c r="L76" s="271">
        <f>SUM(L45:L74)</f>
        <v>415188.36</v>
      </c>
      <c r="M76" s="272">
        <f>SUM(M45:M74)</f>
        <v>4994.22</v>
      </c>
      <c r="N76" s="272">
        <f>SUM(N45:N74)</f>
        <v>336.0400000000001</v>
      </c>
      <c r="O76" s="272">
        <f>SUM(O45:O74)</f>
        <v>0</v>
      </c>
      <c r="P76" s="272">
        <f>SUM(P45:P74)</f>
        <v>0</v>
      </c>
      <c r="Q76" s="171">
        <f>SUM(Q45:Q74)+Q75</f>
        <v>653926.5400000002</v>
      </c>
    </row>
    <row r="77" spans="1:17" ht="13.5" hidden="1" thickBot="1">
      <c r="A77" s="260"/>
      <c r="B77" s="258"/>
      <c r="C77" s="159">
        <v>2110</v>
      </c>
      <c r="D77" s="159">
        <v>2111</v>
      </c>
      <c r="E77" s="159">
        <v>2210</v>
      </c>
      <c r="F77" s="92">
        <v>2230</v>
      </c>
      <c r="G77" s="92">
        <v>2240</v>
      </c>
      <c r="H77" s="92">
        <v>2250</v>
      </c>
      <c r="I77" s="92">
        <v>2271</v>
      </c>
      <c r="J77" s="11">
        <v>2272</v>
      </c>
      <c r="K77" s="11">
        <v>2273</v>
      </c>
      <c r="L77" s="93">
        <v>2274</v>
      </c>
      <c r="M77" s="93">
        <v>2275</v>
      </c>
      <c r="N77" s="93">
        <v>2800</v>
      </c>
      <c r="O77" s="93">
        <v>2730</v>
      </c>
      <c r="P77" s="11">
        <v>2282</v>
      </c>
      <c r="Q77" s="131">
        <f>C76+D76+E76+F76+G76+I76+J76+K76+L76+M76+N76+O76+P76</f>
        <v>651859.55</v>
      </c>
    </row>
    <row r="78" spans="2:17" ht="15" hidden="1">
      <c r="B78" s="51" t="s">
        <v>35</v>
      </c>
      <c r="C78" s="132"/>
      <c r="D78" s="132"/>
      <c r="E78" s="185">
        <f>8229+1680.28</f>
        <v>9909.28</v>
      </c>
      <c r="F78" s="185">
        <f>42823.53+13187.87</f>
        <v>56011.4</v>
      </c>
      <c r="G78" s="185">
        <f>6852.89+1354.11</f>
        <v>8207</v>
      </c>
      <c r="H78" s="185">
        <v>2066.99</v>
      </c>
      <c r="I78" s="185">
        <v>0</v>
      </c>
      <c r="J78" s="194">
        <f>14739.59</f>
        <v>14739.59</v>
      </c>
      <c r="K78" s="194">
        <f>84516.19+24861.47</f>
        <v>109377.66</v>
      </c>
      <c r="L78" s="185">
        <f>267466.52+147721.84</f>
        <v>415188.36</v>
      </c>
      <c r="M78" s="185">
        <f>4994.22</f>
        <v>4994.22</v>
      </c>
      <c r="N78" s="185">
        <f>244+92.04</f>
        <v>336.04</v>
      </c>
      <c r="O78" s="194"/>
      <c r="P78" s="195"/>
      <c r="Q78" s="133">
        <f>SUM(C78:P78)</f>
        <v>620830.54</v>
      </c>
    </row>
    <row r="79" spans="2:17" ht="15" hidden="1">
      <c r="B79" s="249" t="s">
        <v>12</v>
      </c>
      <c r="C79" s="261"/>
      <c r="D79" s="261"/>
      <c r="E79" s="262">
        <f>SUM(E78:E78)</f>
        <v>9909.28</v>
      </c>
      <c r="F79" s="262">
        <f aca="true" t="shared" si="4" ref="F79:P79">SUM(F78:F78)</f>
        <v>56011.4</v>
      </c>
      <c r="G79" s="262">
        <f t="shared" si="4"/>
        <v>8207</v>
      </c>
      <c r="H79" s="262">
        <f t="shared" si="4"/>
        <v>2066.99</v>
      </c>
      <c r="I79" s="262">
        <f t="shared" si="4"/>
        <v>0</v>
      </c>
      <c r="J79" s="262">
        <f t="shared" si="4"/>
        <v>14739.59</v>
      </c>
      <c r="K79" s="262">
        <f t="shared" si="4"/>
        <v>109377.66</v>
      </c>
      <c r="L79" s="262">
        <f t="shared" si="4"/>
        <v>415188.36</v>
      </c>
      <c r="M79" s="262">
        <f t="shared" si="4"/>
        <v>4994.22</v>
      </c>
      <c r="N79" s="262">
        <f t="shared" si="4"/>
        <v>336.04</v>
      </c>
      <c r="O79" s="262">
        <f t="shared" si="4"/>
        <v>0</v>
      </c>
      <c r="P79" s="262">
        <f t="shared" si="4"/>
        <v>0</v>
      </c>
      <c r="Q79" s="262">
        <f>SUM(Q78:Q78)</f>
        <v>620830.54</v>
      </c>
    </row>
    <row r="80" spans="2:17" ht="57" customHeight="1" hidden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2:17" ht="19.5" hidden="1" thickBot="1">
      <c r="B81" s="359" t="s">
        <v>39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</row>
    <row r="82" spans="1:17" ht="13.5" hidden="1" thickBot="1">
      <c r="A82" s="254"/>
      <c r="B82" s="285" t="s">
        <v>31</v>
      </c>
      <c r="C82" s="312">
        <v>2110</v>
      </c>
      <c r="D82" s="312">
        <v>2111</v>
      </c>
      <c r="E82" s="312">
        <v>2210</v>
      </c>
      <c r="F82" s="313">
        <v>2230</v>
      </c>
      <c r="G82" s="313">
        <v>2240</v>
      </c>
      <c r="H82" s="313">
        <v>2250</v>
      </c>
      <c r="I82" s="313">
        <v>2271</v>
      </c>
      <c r="J82" s="311">
        <v>2272</v>
      </c>
      <c r="K82" s="311">
        <v>2273</v>
      </c>
      <c r="L82" s="314">
        <v>2274</v>
      </c>
      <c r="M82" s="314">
        <v>2275</v>
      </c>
      <c r="N82" s="314">
        <v>2800</v>
      </c>
      <c r="O82" s="314">
        <v>2730</v>
      </c>
      <c r="P82" s="311">
        <v>2282</v>
      </c>
      <c r="Q82" s="263" t="s">
        <v>30</v>
      </c>
    </row>
    <row r="83" spans="1:17" ht="12.75" hidden="1">
      <c r="A83" s="255">
        <v>1</v>
      </c>
      <c r="B83" s="286" t="s">
        <v>0</v>
      </c>
      <c r="C83" s="35"/>
      <c r="D83" s="36"/>
      <c r="E83" s="79">
        <f>6066.76*1.2</f>
        <v>7280.112</v>
      </c>
      <c r="F83" s="66">
        <f>755.3+235.25</f>
        <v>990.55</v>
      </c>
      <c r="G83" s="66">
        <f>139+63.83+85</f>
        <v>287.83</v>
      </c>
      <c r="H83" s="66"/>
      <c r="I83" s="67"/>
      <c r="J83" s="37"/>
      <c r="K83" s="20">
        <v>796</v>
      </c>
      <c r="L83" s="37"/>
      <c r="M83" s="20"/>
      <c r="N83" s="20"/>
      <c r="O83" s="107"/>
      <c r="P83" s="107">
        <f>30+30</f>
        <v>60</v>
      </c>
      <c r="Q83" s="56">
        <f aca="true" t="shared" si="5" ref="Q83:Q113">SUM(E83:P83)</f>
        <v>9414.492</v>
      </c>
    </row>
    <row r="84" spans="1:17" ht="12.75" hidden="1">
      <c r="A84" s="256">
        <v>2</v>
      </c>
      <c r="B84" s="287" t="s">
        <v>1</v>
      </c>
      <c r="C84" s="12"/>
      <c r="D84" s="2"/>
      <c r="E84" s="80">
        <f>2600.04*1.2</f>
        <v>3120.048</v>
      </c>
      <c r="F84" s="69">
        <f>2274.51+638.87</f>
        <v>2913.38</v>
      </c>
      <c r="G84" s="71">
        <f>135+63.83</f>
        <v>198.82999999999998</v>
      </c>
      <c r="H84" s="71"/>
      <c r="I84" s="69"/>
      <c r="J84" s="3"/>
      <c r="K84" s="21">
        <v>2675</v>
      </c>
      <c r="L84" s="21">
        <v>52386.29</v>
      </c>
      <c r="M84" s="21"/>
      <c r="N84" s="21"/>
      <c r="O84" s="116"/>
      <c r="P84" s="116">
        <f>30</f>
        <v>30</v>
      </c>
      <c r="Q84" s="102">
        <f t="shared" si="5"/>
        <v>61323.548</v>
      </c>
    </row>
    <row r="85" spans="1:17" ht="12.75" hidden="1">
      <c r="A85" s="256">
        <v>3</v>
      </c>
      <c r="B85" s="287" t="s">
        <v>2</v>
      </c>
      <c r="C85" s="12"/>
      <c r="D85" s="2"/>
      <c r="E85" s="80">
        <f>537+2800.02+3467.04+799+1400+1560+1718.8+1681+1735+5506+1630+1116+260.45+802+132+(5200.08*1.2)</f>
        <v>31384.406000000003</v>
      </c>
      <c r="F85" s="69">
        <f>5868.48</f>
        <v>5868.48</v>
      </c>
      <c r="G85" s="71">
        <f>63.83+75.19+250+229</f>
        <v>618.02</v>
      </c>
      <c r="H85" s="71">
        <f>473.2+120.56+119.12</f>
        <v>712.88</v>
      </c>
      <c r="I85" s="69"/>
      <c r="J85" s="3"/>
      <c r="K85" s="21">
        <v>10334</v>
      </c>
      <c r="L85" s="21"/>
      <c r="M85" s="21"/>
      <c r="N85" s="21"/>
      <c r="O85" s="116"/>
      <c r="P85" s="116">
        <f>30+30+30+30</f>
        <v>120</v>
      </c>
      <c r="Q85" s="102">
        <f t="shared" si="5"/>
        <v>49037.78599999999</v>
      </c>
    </row>
    <row r="86" spans="1:17" ht="12.75" hidden="1">
      <c r="A86" s="256">
        <v>4</v>
      </c>
      <c r="B86" s="287" t="s">
        <v>3</v>
      </c>
      <c r="C86" s="12"/>
      <c r="D86" s="2"/>
      <c r="E86" s="80"/>
      <c r="F86" s="69">
        <f>1323.5</f>
        <v>1323.5</v>
      </c>
      <c r="G86" s="71">
        <f>149+63.83</f>
        <v>212.82999999999998</v>
      </c>
      <c r="H86" s="71"/>
      <c r="I86" s="70"/>
      <c r="J86" s="3"/>
      <c r="K86" s="21">
        <v>2493</v>
      </c>
      <c r="L86" s="21">
        <v>41223.52</v>
      </c>
      <c r="M86" s="21"/>
      <c r="N86" s="21"/>
      <c r="O86" s="116"/>
      <c r="P86" s="116"/>
      <c r="Q86" s="102">
        <f t="shared" si="5"/>
        <v>45252.85</v>
      </c>
    </row>
    <row r="87" spans="1:17" ht="12.75" hidden="1">
      <c r="A87" s="256">
        <v>5</v>
      </c>
      <c r="B87" s="287" t="s">
        <v>4</v>
      </c>
      <c r="C87" s="12"/>
      <c r="D87" s="2"/>
      <c r="E87" s="80">
        <f>200</f>
        <v>200</v>
      </c>
      <c r="F87" s="69">
        <f>317.67</f>
        <v>317.67</v>
      </c>
      <c r="G87" s="71">
        <f>63.83</f>
        <v>63.83</v>
      </c>
      <c r="H87" s="71"/>
      <c r="I87" s="69"/>
      <c r="J87" s="3"/>
      <c r="K87" s="21">
        <v>2703</v>
      </c>
      <c r="L87" s="21"/>
      <c r="M87" s="21"/>
      <c r="N87" s="21"/>
      <c r="O87" s="116"/>
      <c r="P87" s="116"/>
      <c r="Q87" s="102">
        <f t="shared" si="5"/>
        <v>3284.5</v>
      </c>
    </row>
    <row r="88" spans="1:17" ht="12.75" hidden="1">
      <c r="A88" s="256">
        <v>6</v>
      </c>
      <c r="B88" s="287" t="s">
        <v>5</v>
      </c>
      <c r="C88" s="12"/>
      <c r="D88" s="2"/>
      <c r="E88" s="80">
        <f>1292.75+(5200.08+4333.4+5200.08)*1.2</f>
        <v>18973.021999999997</v>
      </c>
      <c r="F88" s="69">
        <f>6050.5+2130.28</f>
        <v>8180.780000000001</v>
      </c>
      <c r="G88" s="69">
        <f>308.03+452.77</f>
        <v>760.8</v>
      </c>
      <c r="H88" s="69"/>
      <c r="I88" s="69">
        <v>322378.18</v>
      </c>
      <c r="J88" s="21">
        <f>1572.48+2726.4</f>
        <v>4298.88</v>
      </c>
      <c r="K88" s="21">
        <v>20141</v>
      </c>
      <c r="L88" s="21"/>
      <c r="M88" s="21"/>
      <c r="N88" s="21"/>
      <c r="O88" s="116"/>
      <c r="P88" s="116">
        <f>30+30+30+30+30+30+30+30</f>
        <v>240</v>
      </c>
      <c r="Q88" s="102">
        <f t="shared" si="5"/>
        <v>374972.662</v>
      </c>
    </row>
    <row r="89" spans="1:17" ht="12.75" hidden="1">
      <c r="A89" s="256">
        <v>7</v>
      </c>
      <c r="B89" s="287" t="s">
        <v>6</v>
      </c>
      <c r="C89" s="12"/>
      <c r="D89" s="2"/>
      <c r="E89" s="80"/>
      <c r="F89" s="69">
        <f>788.2</f>
        <v>788.2</v>
      </c>
      <c r="G89" s="71">
        <f>80+53.7</f>
        <v>133.7</v>
      </c>
      <c r="H89" s="71"/>
      <c r="I89" s="69"/>
      <c r="J89" s="21"/>
      <c r="K89" s="21">
        <v>6419</v>
      </c>
      <c r="L89" s="28"/>
      <c r="M89" s="21"/>
      <c r="N89" s="21"/>
      <c r="O89" s="116"/>
      <c r="P89" s="116">
        <f>30+30</f>
        <v>60</v>
      </c>
      <c r="Q89" s="102">
        <f t="shared" si="5"/>
        <v>7400.9</v>
      </c>
    </row>
    <row r="90" spans="1:17" ht="12.75" hidden="1">
      <c r="A90" s="256">
        <v>8</v>
      </c>
      <c r="B90" s="287" t="s">
        <v>7</v>
      </c>
      <c r="C90" s="12"/>
      <c r="D90" s="2"/>
      <c r="E90" s="80"/>
      <c r="F90" s="69">
        <f>712.04</f>
        <v>712.04</v>
      </c>
      <c r="G90" s="71">
        <f>229+73.52</f>
        <v>302.52</v>
      </c>
      <c r="H90" s="71"/>
      <c r="I90" s="69"/>
      <c r="J90" s="21">
        <f>354.32</f>
        <v>354.32</v>
      </c>
      <c r="K90" s="21">
        <v>11833</v>
      </c>
      <c r="L90" s="28"/>
      <c r="M90" s="21"/>
      <c r="N90" s="21"/>
      <c r="O90" s="116"/>
      <c r="P90" s="116">
        <f>30</f>
        <v>30</v>
      </c>
      <c r="Q90" s="102">
        <f t="shared" si="5"/>
        <v>13231.88</v>
      </c>
    </row>
    <row r="91" spans="1:17" ht="12.75" hidden="1">
      <c r="A91" s="256">
        <v>9</v>
      </c>
      <c r="B91" s="287" t="s">
        <v>8</v>
      </c>
      <c r="C91" s="12"/>
      <c r="D91" s="2"/>
      <c r="E91" s="81"/>
      <c r="F91" s="69">
        <f>1711.57</f>
        <v>1711.57</v>
      </c>
      <c r="G91" s="71">
        <f>63.83+63.83+172.07</f>
        <v>299.73</v>
      </c>
      <c r="H91" s="71"/>
      <c r="I91" s="69">
        <v>198711</v>
      </c>
      <c r="J91" s="21"/>
      <c r="K91" s="21">
        <v>3702</v>
      </c>
      <c r="L91" s="28"/>
      <c r="M91" s="21"/>
      <c r="N91" s="21"/>
      <c r="O91" s="116"/>
      <c r="P91" s="116"/>
      <c r="Q91" s="102">
        <f t="shared" si="5"/>
        <v>204424.3</v>
      </c>
    </row>
    <row r="92" spans="1:17" ht="12.75" hidden="1">
      <c r="A92" s="256">
        <v>10</v>
      </c>
      <c r="B92" s="287" t="s">
        <v>9</v>
      </c>
      <c r="C92" s="12"/>
      <c r="D92" s="2"/>
      <c r="E92" s="81">
        <f>2600.04*1.2</f>
        <v>3120.048</v>
      </c>
      <c r="F92" s="69">
        <f>2455.58</f>
        <v>2455.58</v>
      </c>
      <c r="G92" s="71">
        <f>100+63.83</f>
        <v>163.82999999999998</v>
      </c>
      <c r="H92" s="71"/>
      <c r="I92" s="70"/>
      <c r="J92" s="28"/>
      <c r="K92" s="21">
        <v>4195</v>
      </c>
      <c r="L92" s="28">
        <v>53428.46</v>
      </c>
      <c r="M92" s="21"/>
      <c r="N92" s="21"/>
      <c r="O92" s="116"/>
      <c r="P92" s="116"/>
      <c r="Q92" s="102">
        <f t="shared" si="5"/>
        <v>63362.918</v>
      </c>
    </row>
    <row r="93" spans="1:17" ht="12.75" hidden="1">
      <c r="A93" s="256">
        <v>11</v>
      </c>
      <c r="B93" s="287" t="s">
        <v>10</v>
      </c>
      <c r="C93" s="12"/>
      <c r="D93" s="2"/>
      <c r="E93" s="81"/>
      <c r="F93" s="69">
        <f>1512.14</f>
        <v>1512.14</v>
      </c>
      <c r="G93" s="71">
        <f>139+66.47</f>
        <v>205.47</v>
      </c>
      <c r="H93" s="71"/>
      <c r="I93" s="69"/>
      <c r="J93" s="28"/>
      <c r="K93" s="21">
        <v>1309</v>
      </c>
      <c r="L93" s="28"/>
      <c r="M93" s="21">
        <v>35456</v>
      </c>
      <c r="N93" s="21"/>
      <c r="O93" s="116"/>
      <c r="P93" s="116"/>
      <c r="Q93" s="102">
        <f t="shared" si="5"/>
        <v>38482.61</v>
      </c>
    </row>
    <row r="94" spans="1:17" ht="12.75" hidden="1">
      <c r="A94" s="256">
        <v>12</v>
      </c>
      <c r="B94" s="287" t="s">
        <v>11</v>
      </c>
      <c r="C94" s="12"/>
      <c r="D94" s="2"/>
      <c r="E94" s="81">
        <f>2065+2721.58+401+132+(5200.08*1.2)</f>
        <v>11559.676</v>
      </c>
      <c r="F94" s="69">
        <f>2396.97</f>
        <v>2396.97</v>
      </c>
      <c r="G94" s="71">
        <f>63.83+229</f>
        <v>292.83</v>
      </c>
      <c r="H94" s="71">
        <f>916.78+135.22</f>
        <v>1052</v>
      </c>
      <c r="I94" s="70"/>
      <c r="J94" s="21"/>
      <c r="K94" s="21">
        <v>6033</v>
      </c>
      <c r="L94" s="21"/>
      <c r="M94" s="21"/>
      <c r="N94" s="21"/>
      <c r="O94" s="116"/>
      <c r="P94" s="116"/>
      <c r="Q94" s="102">
        <f t="shared" si="5"/>
        <v>21334.476</v>
      </c>
    </row>
    <row r="95" spans="1:17" ht="12.75" hidden="1">
      <c r="A95" s="256">
        <v>13</v>
      </c>
      <c r="B95" s="287" t="s">
        <v>13</v>
      </c>
      <c r="C95" s="12"/>
      <c r="D95" s="2"/>
      <c r="E95" s="81"/>
      <c r="F95" s="69">
        <f>78.2</f>
        <v>78.2</v>
      </c>
      <c r="G95" s="71">
        <f>38.29</f>
        <v>38.29</v>
      </c>
      <c r="H95" s="71"/>
      <c r="I95" s="69"/>
      <c r="J95" s="28"/>
      <c r="K95" s="21">
        <v>1497</v>
      </c>
      <c r="L95" s="21">
        <v>33986.24</v>
      </c>
      <c r="M95" s="21"/>
      <c r="N95" s="21"/>
      <c r="O95" s="116"/>
      <c r="P95" s="116"/>
      <c r="Q95" s="102">
        <f t="shared" si="5"/>
        <v>35599.729999999996</v>
      </c>
    </row>
    <row r="96" spans="1:17" ht="12.75" hidden="1">
      <c r="A96" s="256">
        <v>14</v>
      </c>
      <c r="B96" s="287" t="s">
        <v>14</v>
      </c>
      <c r="C96" s="12"/>
      <c r="D96" s="2"/>
      <c r="E96" s="81">
        <f>2600.04*1.2</f>
        <v>3120.048</v>
      </c>
      <c r="F96" s="69">
        <f>724.24</f>
        <v>724.24</v>
      </c>
      <c r="G96" s="71">
        <f>63.83</f>
        <v>63.83</v>
      </c>
      <c r="H96" s="71"/>
      <c r="I96" s="69"/>
      <c r="J96" s="21">
        <f>213.28</f>
        <v>213.28</v>
      </c>
      <c r="K96" s="21">
        <v>1653</v>
      </c>
      <c r="L96" s="28"/>
      <c r="M96" s="21"/>
      <c r="N96" s="21"/>
      <c r="O96" s="116"/>
      <c r="P96" s="116">
        <f>30+30+30+30</f>
        <v>120</v>
      </c>
      <c r="Q96" s="102">
        <f t="shared" si="5"/>
        <v>5894.397999999999</v>
      </c>
    </row>
    <row r="97" spans="1:17" ht="12.75" hidden="1">
      <c r="A97" s="256">
        <v>15</v>
      </c>
      <c r="B97" s="287" t="s">
        <v>15</v>
      </c>
      <c r="C97" s="12"/>
      <c r="D97" s="2"/>
      <c r="E97" s="81"/>
      <c r="F97" s="69">
        <f>161.82</f>
        <v>161.82</v>
      </c>
      <c r="G97" s="71">
        <f>63.83</f>
        <v>63.83</v>
      </c>
      <c r="H97" s="71"/>
      <c r="I97" s="70"/>
      <c r="J97" s="28"/>
      <c r="K97" s="21">
        <v>2413</v>
      </c>
      <c r="L97" s="28"/>
      <c r="M97" s="21"/>
      <c r="N97" s="21"/>
      <c r="O97" s="116"/>
      <c r="P97" s="116"/>
      <c r="Q97" s="102">
        <f t="shared" si="5"/>
        <v>2638.65</v>
      </c>
    </row>
    <row r="98" spans="1:17" ht="12.75" hidden="1">
      <c r="A98" s="256">
        <v>16</v>
      </c>
      <c r="B98" s="287" t="s">
        <v>16</v>
      </c>
      <c r="C98" s="12"/>
      <c r="D98" s="2"/>
      <c r="E98" s="81">
        <f>1016+3641+200.5+66</f>
        <v>4923.5</v>
      </c>
      <c r="F98" s="69">
        <f>1161.31</f>
        <v>1161.31</v>
      </c>
      <c r="G98" s="71">
        <f>63.83+149+149</f>
        <v>361.83</v>
      </c>
      <c r="H98" s="71">
        <f>122.32</f>
        <v>122.32</v>
      </c>
      <c r="I98" s="69"/>
      <c r="J98" s="28"/>
      <c r="K98" s="21">
        <v>3851</v>
      </c>
      <c r="L98" s="28"/>
      <c r="M98" s="21"/>
      <c r="N98" s="21"/>
      <c r="O98" s="116"/>
      <c r="P98" s="116">
        <f>30+30</f>
        <v>60</v>
      </c>
      <c r="Q98" s="102">
        <f t="shared" si="5"/>
        <v>10479.96</v>
      </c>
    </row>
    <row r="99" spans="1:17" ht="12.75" hidden="1">
      <c r="A99" s="256">
        <v>17</v>
      </c>
      <c r="B99" s="287" t="s">
        <v>17</v>
      </c>
      <c r="C99" s="12"/>
      <c r="D99" s="2"/>
      <c r="E99" s="81">
        <f>5200.08*1.2</f>
        <v>6240.096</v>
      </c>
      <c r="F99" s="69">
        <f>688.49</f>
        <v>688.49</v>
      </c>
      <c r="G99" s="71">
        <f>100+63.83</f>
        <v>163.82999999999998</v>
      </c>
      <c r="H99" s="71"/>
      <c r="I99" s="69"/>
      <c r="J99" s="28"/>
      <c r="K99" s="21">
        <v>2313</v>
      </c>
      <c r="L99" s="28"/>
      <c r="M99" s="21"/>
      <c r="N99" s="21"/>
      <c r="O99" s="116"/>
      <c r="P99" s="116"/>
      <c r="Q99" s="102">
        <f t="shared" si="5"/>
        <v>9405.416</v>
      </c>
    </row>
    <row r="100" spans="1:17" ht="12.75" hidden="1">
      <c r="A100" s="256">
        <v>18</v>
      </c>
      <c r="B100" s="287" t="s">
        <v>18</v>
      </c>
      <c r="C100" s="12"/>
      <c r="D100" s="2"/>
      <c r="E100" s="81"/>
      <c r="F100" s="69">
        <f>470.51+212.03</f>
        <v>682.54</v>
      </c>
      <c r="G100" s="71">
        <f>67.15+139.07+0.04</f>
        <v>206.26</v>
      </c>
      <c r="H100" s="71"/>
      <c r="I100" s="69"/>
      <c r="J100" s="21"/>
      <c r="K100" s="21">
        <v>2054</v>
      </c>
      <c r="L100" s="21">
        <v>34217.84</v>
      </c>
      <c r="M100" s="21"/>
      <c r="N100" s="21"/>
      <c r="O100" s="116"/>
      <c r="P100" s="116"/>
      <c r="Q100" s="102">
        <f t="shared" si="5"/>
        <v>37160.64</v>
      </c>
    </row>
    <row r="101" spans="1:17" ht="12.75" hidden="1">
      <c r="A101" s="256">
        <v>19</v>
      </c>
      <c r="B101" s="287" t="s">
        <v>19</v>
      </c>
      <c r="C101" s="12"/>
      <c r="D101" s="2"/>
      <c r="E101" s="81"/>
      <c r="F101" s="69">
        <f>1037.45</f>
        <v>1037.45</v>
      </c>
      <c r="G101" s="71">
        <f>63.83</f>
        <v>63.83</v>
      </c>
      <c r="H101" s="71"/>
      <c r="I101" s="69"/>
      <c r="J101" s="28"/>
      <c r="K101" s="21">
        <v>804</v>
      </c>
      <c r="L101" s="28"/>
      <c r="M101" s="21"/>
      <c r="N101" s="21"/>
      <c r="O101" s="116"/>
      <c r="P101" s="116">
        <f>30+30+30</f>
        <v>90</v>
      </c>
      <c r="Q101" s="102">
        <f t="shared" si="5"/>
        <v>1995.28</v>
      </c>
    </row>
    <row r="102" spans="1:17" ht="12.75" hidden="1">
      <c r="A102" s="256">
        <v>20</v>
      </c>
      <c r="B102" s="287" t="s">
        <v>20</v>
      </c>
      <c r="C102" s="46"/>
      <c r="D102" s="7"/>
      <c r="E102" s="81"/>
      <c r="F102" s="69">
        <f>104.95</f>
        <v>104.95</v>
      </c>
      <c r="G102" s="71"/>
      <c r="H102" s="71"/>
      <c r="I102" s="70"/>
      <c r="J102" s="28"/>
      <c r="K102" s="21">
        <v>5738</v>
      </c>
      <c r="L102" s="28"/>
      <c r="M102" s="21"/>
      <c r="N102" s="21"/>
      <c r="O102" s="116"/>
      <c r="P102" s="116"/>
      <c r="Q102" s="102">
        <f t="shared" si="5"/>
        <v>5842.95</v>
      </c>
    </row>
    <row r="103" spans="1:17" ht="12.75" hidden="1">
      <c r="A103" s="256">
        <v>21</v>
      </c>
      <c r="B103" s="287" t="s">
        <v>21</v>
      </c>
      <c r="C103" s="46"/>
      <c r="D103" s="6"/>
      <c r="E103" s="81"/>
      <c r="F103" s="69">
        <f>238.51</f>
        <v>238.51</v>
      </c>
      <c r="G103" s="71">
        <f>120+63.83</f>
        <v>183.82999999999998</v>
      </c>
      <c r="H103" s="71"/>
      <c r="I103" s="69"/>
      <c r="J103" s="21">
        <f>161.25</f>
        <v>161.25</v>
      </c>
      <c r="K103" s="21">
        <f>3243+0.88</f>
        <v>3243.88</v>
      </c>
      <c r="L103" s="28"/>
      <c r="M103" s="21"/>
      <c r="N103" s="21"/>
      <c r="O103" s="116"/>
      <c r="P103" s="116"/>
      <c r="Q103" s="102">
        <f t="shared" si="5"/>
        <v>3827.4700000000003</v>
      </c>
    </row>
    <row r="104" spans="1:17" ht="12.75" hidden="1">
      <c r="A104" s="256">
        <v>22</v>
      </c>
      <c r="B104" s="287" t="s">
        <v>22</v>
      </c>
      <c r="C104" s="46"/>
      <c r="D104" s="6"/>
      <c r="E104" s="81">
        <f>2181+200.5+66</f>
        <v>2447.5</v>
      </c>
      <c r="F104" s="69">
        <f>1081.27</f>
        <v>1081.27</v>
      </c>
      <c r="G104" s="71">
        <f>63.83</f>
        <v>63.83</v>
      </c>
      <c r="H104" s="71"/>
      <c r="I104" s="69"/>
      <c r="J104" s="28"/>
      <c r="K104" s="21">
        <v>2347</v>
      </c>
      <c r="L104" s="28"/>
      <c r="M104" s="21"/>
      <c r="N104" s="21"/>
      <c r="O104" s="116"/>
      <c r="P104" s="116"/>
      <c r="Q104" s="102">
        <f t="shared" si="5"/>
        <v>5939.6</v>
      </c>
    </row>
    <row r="105" spans="1:17" ht="12.75" hidden="1">
      <c r="A105" s="256">
        <v>23</v>
      </c>
      <c r="B105" s="287" t="s">
        <v>23</v>
      </c>
      <c r="C105" s="46"/>
      <c r="D105" s="6"/>
      <c r="E105" s="81"/>
      <c r="F105" s="69">
        <f>707.51+95.99</f>
        <v>803.5</v>
      </c>
      <c r="G105" s="71">
        <f>76.85+139.07</f>
        <v>215.92</v>
      </c>
      <c r="H105" s="71"/>
      <c r="I105" s="69"/>
      <c r="J105" s="21"/>
      <c r="K105" s="21">
        <v>1284</v>
      </c>
      <c r="L105" s="28">
        <v>28740.67</v>
      </c>
      <c r="M105" s="21"/>
      <c r="N105" s="21"/>
      <c r="O105" s="116"/>
      <c r="P105" s="116"/>
      <c r="Q105" s="102">
        <f t="shared" si="5"/>
        <v>31044.089999999997</v>
      </c>
    </row>
    <row r="106" spans="1:17" ht="12.75" hidden="1">
      <c r="A106" s="256">
        <v>24</v>
      </c>
      <c r="B106" s="287" t="s">
        <v>24</v>
      </c>
      <c r="C106" s="46"/>
      <c r="D106" s="6"/>
      <c r="E106" s="81"/>
      <c r="F106" s="69"/>
      <c r="G106" s="69"/>
      <c r="H106" s="69"/>
      <c r="I106" s="70"/>
      <c r="J106" s="3"/>
      <c r="K106" s="21">
        <v>123</v>
      </c>
      <c r="L106" s="3"/>
      <c r="M106" s="21"/>
      <c r="N106" s="21"/>
      <c r="O106" s="116"/>
      <c r="P106" s="116"/>
      <c r="Q106" s="102">
        <f t="shared" si="5"/>
        <v>123</v>
      </c>
    </row>
    <row r="107" spans="1:17" ht="12.75" hidden="1">
      <c r="A107" s="256">
        <v>25</v>
      </c>
      <c r="B107" s="287" t="s">
        <v>25</v>
      </c>
      <c r="C107" s="46"/>
      <c r="D107" s="6"/>
      <c r="E107" s="81"/>
      <c r="F107" s="69"/>
      <c r="G107" s="72"/>
      <c r="H107" s="72"/>
      <c r="I107" s="70"/>
      <c r="J107" s="3"/>
      <c r="K107" s="21">
        <v>154</v>
      </c>
      <c r="L107" s="3"/>
      <c r="M107" s="21"/>
      <c r="N107" s="21"/>
      <c r="O107" s="116"/>
      <c r="P107" s="100"/>
      <c r="Q107" s="102">
        <f t="shared" si="5"/>
        <v>154</v>
      </c>
    </row>
    <row r="108" spans="1:17" ht="12.75" hidden="1">
      <c r="A108" s="256">
        <v>26</v>
      </c>
      <c r="B108" s="287" t="s">
        <v>26</v>
      </c>
      <c r="C108" s="46"/>
      <c r="D108" s="6"/>
      <c r="E108" s="81"/>
      <c r="F108" s="69"/>
      <c r="G108" s="72"/>
      <c r="H108" s="72"/>
      <c r="I108" s="70"/>
      <c r="J108" s="3"/>
      <c r="K108" s="21">
        <v>26</v>
      </c>
      <c r="L108" s="3"/>
      <c r="M108" s="21"/>
      <c r="N108" s="21"/>
      <c r="O108" s="116"/>
      <c r="P108" s="100"/>
      <c r="Q108" s="102">
        <f t="shared" si="5"/>
        <v>26</v>
      </c>
    </row>
    <row r="109" spans="1:17" ht="12.75" hidden="1">
      <c r="A109" s="256">
        <v>27</v>
      </c>
      <c r="B109" s="287" t="s">
        <v>27</v>
      </c>
      <c r="C109" s="46"/>
      <c r="D109" s="6"/>
      <c r="E109" s="81"/>
      <c r="F109" s="69">
        <f>561.76</f>
        <v>561.76</v>
      </c>
      <c r="G109" s="72"/>
      <c r="H109" s="72"/>
      <c r="I109" s="72"/>
      <c r="J109" s="3"/>
      <c r="K109" s="21">
        <v>971</v>
      </c>
      <c r="L109" s="28">
        <f>1239.02</f>
        <v>1239.02</v>
      </c>
      <c r="M109" s="21"/>
      <c r="N109" s="21"/>
      <c r="O109" s="100"/>
      <c r="P109" s="100"/>
      <c r="Q109" s="102">
        <f t="shared" si="5"/>
        <v>2771.7799999999997</v>
      </c>
    </row>
    <row r="110" spans="1:17" ht="12.75" hidden="1">
      <c r="A110" s="256">
        <v>28</v>
      </c>
      <c r="B110" s="287" t="s">
        <v>28</v>
      </c>
      <c r="C110" s="46"/>
      <c r="D110" s="6"/>
      <c r="E110" s="81"/>
      <c r="F110" s="69"/>
      <c r="G110" s="72"/>
      <c r="H110" s="72"/>
      <c r="I110" s="72"/>
      <c r="J110" s="3"/>
      <c r="K110" s="21">
        <v>44</v>
      </c>
      <c r="L110" s="3"/>
      <c r="M110" s="21"/>
      <c r="N110" s="21"/>
      <c r="O110" s="100"/>
      <c r="P110" s="100"/>
      <c r="Q110" s="102">
        <f t="shared" si="5"/>
        <v>44</v>
      </c>
    </row>
    <row r="111" spans="1:17" ht="12.75" hidden="1">
      <c r="A111" s="256">
        <v>29</v>
      </c>
      <c r="B111" s="277" t="s">
        <v>29</v>
      </c>
      <c r="C111" s="46"/>
      <c r="D111" s="6"/>
      <c r="E111" s="81"/>
      <c r="F111" s="69"/>
      <c r="G111" s="74"/>
      <c r="H111" s="74"/>
      <c r="I111" s="74"/>
      <c r="J111" s="3"/>
      <c r="K111" s="21">
        <v>136</v>
      </c>
      <c r="L111" s="3"/>
      <c r="M111" s="21"/>
      <c r="N111" s="21"/>
      <c r="O111" s="100"/>
      <c r="P111" s="100"/>
      <c r="Q111" s="102">
        <f t="shared" si="5"/>
        <v>136</v>
      </c>
    </row>
    <row r="112" spans="1:17" ht="12.75" hidden="1">
      <c r="A112" s="256">
        <v>30</v>
      </c>
      <c r="B112" s="277" t="s">
        <v>37</v>
      </c>
      <c r="C112" s="46"/>
      <c r="D112" s="6"/>
      <c r="E112" s="70"/>
      <c r="F112" s="69"/>
      <c r="G112" s="70">
        <f>63.83-0.08</f>
        <v>63.75</v>
      </c>
      <c r="H112" s="70"/>
      <c r="I112" s="75"/>
      <c r="J112" s="3"/>
      <c r="K112" s="21"/>
      <c r="L112" s="83"/>
      <c r="M112" s="21"/>
      <c r="N112" s="21"/>
      <c r="O112" s="100"/>
      <c r="P112" s="100"/>
      <c r="Q112" s="102">
        <f t="shared" si="5"/>
        <v>63.75</v>
      </c>
    </row>
    <row r="113" spans="1:17" ht="13.5" hidden="1" thickBot="1">
      <c r="A113" s="284">
        <v>31</v>
      </c>
      <c r="B113" s="278" t="s">
        <v>36</v>
      </c>
      <c r="C113" s="60"/>
      <c r="D113" s="40"/>
      <c r="E113" s="82"/>
      <c r="F113" s="76">
        <f>588.66+426.94</f>
        <v>1015.5999999999999</v>
      </c>
      <c r="G113" s="76"/>
      <c r="H113" s="76"/>
      <c r="I113" s="78"/>
      <c r="J113" s="42"/>
      <c r="K113" s="43"/>
      <c r="L113" s="84"/>
      <c r="M113" s="43"/>
      <c r="N113" s="43"/>
      <c r="O113" s="101"/>
      <c r="P113" s="101"/>
      <c r="Q113" s="102">
        <f t="shared" si="5"/>
        <v>1015.5999999999999</v>
      </c>
    </row>
    <row r="114" spans="1:17" s="137" customFormat="1" ht="13.5" hidden="1" thickBot="1">
      <c r="A114" s="283"/>
      <c r="B114" s="289" t="s">
        <v>12</v>
      </c>
      <c r="C114" s="174">
        <f>SUM(C83:C113)</f>
        <v>0</v>
      </c>
      <c r="D114" s="174">
        <f>SUM(D83:D113)</f>
        <v>0</v>
      </c>
      <c r="E114" s="175">
        <f>SUM(E83:E112)+E113</f>
        <v>92368.456</v>
      </c>
      <c r="F114" s="176">
        <f>SUM(F83:F112)+F113</f>
        <v>37510.5</v>
      </c>
      <c r="G114" s="176">
        <f aca="true" t="shared" si="6" ref="G114:P114">SUM(G83:G112)</f>
        <v>5029.249999999999</v>
      </c>
      <c r="H114" s="176">
        <f t="shared" si="6"/>
        <v>1887.2</v>
      </c>
      <c r="I114" s="176">
        <f t="shared" si="6"/>
        <v>521089.18</v>
      </c>
      <c r="J114" s="176">
        <f t="shared" si="6"/>
        <v>5027.73</v>
      </c>
      <c r="K114" s="176">
        <f>SUM(K83:K113)</f>
        <v>101284.88</v>
      </c>
      <c r="L114" s="176">
        <f>SUM(L83:L112)</f>
        <v>245222.03999999995</v>
      </c>
      <c r="M114" s="174">
        <f t="shared" si="6"/>
        <v>35456</v>
      </c>
      <c r="N114" s="174">
        <f t="shared" si="6"/>
        <v>0</v>
      </c>
      <c r="O114" s="174">
        <f t="shared" si="6"/>
        <v>0</v>
      </c>
      <c r="P114" s="174">
        <f t="shared" si="6"/>
        <v>810</v>
      </c>
      <c r="Q114" s="177">
        <f>SUM(Q83:Q113)</f>
        <v>1045685.2359999999</v>
      </c>
    </row>
    <row r="115" spans="1:17" s="137" customFormat="1" ht="13.5" hidden="1" thickBot="1">
      <c r="A115" s="282"/>
      <c r="B115" s="258"/>
      <c r="C115" s="159">
        <v>2110</v>
      </c>
      <c r="D115" s="159">
        <v>2111</v>
      </c>
      <c r="E115" s="159">
        <v>2210</v>
      </c>
      <c r="F115" s="92">
        <v>2230</v>
      </c>
      <c r="G115" s="92">
        <v>2240</v>
      </c>
      <c r="H115" s="92">
        <v>2250</v>
      </c>
      <c r="I115" s="92">
        <v>2271</v>
      </c>
      <c r="J115" s="11">
        <v>2272</v>
      </c>
      <c r="K115" s="11">
        <v>2273</v>
      </c>
      <c r="L115" s="93">
        <v>2274</v>
      </c>
      <c r="M115" s="93">
        <v>2275</v>
      </c>
      <c r="N115" s="93">
        <v>2800</v>
      </c>
      <c r="O115" s="93">
        <v>2730</v>
      </c>
      <c r="P115" s="11">
        <v>2282</v>
      </c>
      <c r="Q115" s="179">
        <f>C114+D114+E114+F114+G114+I114+J114+K114+L114+M114+N114+O114+P114</f>
        <v>1043798.0359999998</v>
      </c>
    </row>
    <row r="116" spans="2:17" ht="15" hidden="1">
      <c r="B116" s="51" t="s">
        <v>35</v>
      </c>
      <c r="C116" s="51"/>
      <c r="D116" s="51"/>
      <c r="E116" s="98">
        <f>247452.75+103874.89</f>
        <v>351327.64</v>
      </c>
      <c r="F116" s="185">
        <f>27002.47+10508.03</f>
        <v>37510.5</v>
      </c>
      <c r="G116" s="185">
        <f>3692.75+1336.5</f>
        <v>5029.25</v>
      </c>
      <c r="H116" s="185">
        <f>1887.2</f>
        <v>1887.2</v>
      </c>
      <c r="I116" s="185">
        <f>521089.18</f>
        <v>521089.18</v>
      </c>
      <c r="J116" s="194">
        <f>5027.73</f>
        <v>5027.73</v>
      </c>
      <c r="K116" s="194">
        <f>76295.35+24989.53</f>
        <v>101284.88</v>
      </c>
      <c r="L116" s="185">
        <f>245222.03</f>
        <v>245222.03</v>
      </c>
      <c r="M116" s="185">
        <f>35456</f>
        <v>35456</v>
      </c>
      <c r="N116" s="185">
        <v>0</v>
      </c>
      <c r="O116" s="237">
        <v>0</v>
      </c>
      <c r="P116" s="160">
        <v>810</v>
      </c>
      <c r="Q116" s="133">
        <f>SUM(E116:P116)</f>
        <v>1304644.41</v>
      </c>
    </row>
    <row r="117" spans="2:17" ht="15" hidden="1">
      <c r="B117" s="249" t="s">
        <v>12</v>
      </c>
      <c r="C117" s="261"/>
      <c r="D117" s="261"/>
      <c r="E117" s="262">
        <f>SUM(E116:E116)</f>
        <v>351327.64</v>
      </c>
      <c r="F117" s="262">
        <f>SUM(F116:F116)</f>
        <v>37510.5</v>
      </c>
      <c r="G117" s="262">
        <f>SUM(G116:G116)</f>
        <v>5029.25</v>
      </c>
      <c r="H117" s="262">
        <f>SUM(H116:H116)</f>
        <v>1887.2</v>
      </c>
      <c r="I117" s="262">
        <f aca="true" t="shared" si="7" ref="I117:P117">SUM(I116:I116)</f>
        <v>521089.18</v>
      </c>
      <c r="J117" s="262">
        <f t="shared" si="7"/>
        <v>5027.73</v>
      </c>
      <c r="K117" s="262">
        <f t="shared" si="7"/>
        <v>101284.88</v>
      </c>
      <c r="L117" s="262">
        <f t="shared" si="7"/>
        <v>245222.03</v>
      </c>
      <c r="M117" s="262">
        <f t="shared" si="7"/>
        <v>35456</v>
      </c>
      <c r="N117" s="262">
        <f t="shared" si="7"/>
        <v>0</v>
      </c>
      <c r="O117" s="262">
        <f t="shared" si="7"/>
        <v>0</v>
      </c>
      <c r="P117" s="262">
        <f t="shared" si="7"/>
        <v>810</v>
      </c>
      <c r="Q117" s="262">
        <f>SUM(Q116:Q116)</f>
        <v>1304644.41</v>
      </c>
    </row>
    <row r="118" spans="2:17" ht="89.25" customHeight="1" hidden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2:17" ht="19.5" hidden="1" thickBot="1">
      <c r="B119" s="359" t="s">
        <v>38</v>
      </c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</row>
    <row r="120" spans="2:17" ht="18" customHeight="1" hidden="1" thickBot="1">
      <c r="B120" s="18" t="s">
        <v>31</v>
      </c>
      <c r="C120" s="159">
        <v>2110</v>
      </c>
      <c r="D120" s="159">
        <v>2111</v>
      </c>
      <c r="E120" s="159">
        <v>2210</v>
      </c>
      <c r="F120" s="92">
        <v>2230</v>
      </c>
      <c r="G120" s="92">
        <v>2240</v>
      </c>
      <c r="H120" s="92">
        <v>2250</v>
      </c>
      <c r="I120" s="92">
        <v>2271</v>
      </c>
      <c r="J120" s="11">
        <v>2272</v>
      </c>
      <c r="K120" s="11">
        <v>2273</v>
      </c>
      <c r="L120" s="93">
        <v>2274</v>
      </c>
      <c r="M120" s="93">
        <v>2275</v>
      </c>
      <c r="N120" s="93">
        <v>2800</v>
      </c>
      <c r="O120" s="93">
        <v>2730</v>
      </c>
      <c r="P120" s="11">
        <v>2282</v>
      </c>
      <c r="Q120" s="263" t="s">
        <v>30</v>
      </c>
    </row>
    <row r="121" spans="1:17" ht="12.75" hidden="1">
      <c r="A121" s="187">
        <v>1</v>
      </c>
      <c r="B121" s="276" t="s">
        <v>0</v>
      </c>
      <c r="C121" s="103"/>
      <c r="D121" s="104"/>
      <c r="E121" s="105">
        <f>(5633.42*1.2)+12.48+28.08</f>
        <v>6800.664</v>
      </c>
      <c r="F121" s="106">
        <f>1315.42+271.53</f>
        <v>1586.95</v>
      </c>
      <c r="G121" s="106">
        <f>660.1+1843.2+164.39+656.1+65.61</f>
        <v>3389.4</v>
      </c>
      <c r="H121" s="106"/>
      <c r="I121" s="134"/>
      <c r="J121" s="99"/>
      <c r="K121" s="107">
        <v>1085.56</v>
      </c>
      <c r="L121" s="99"/>
      <c r="M121" s="108"/>
      <c r="N121" s="108"/>
      <c r="O121" s="99"/>
      <c r="P121" s="107">
        <f>320</f>
        <v>320</v>
      </c>
      <c r="Q121" s="109">
        <f aca="true" t="shared" si="8" ref="Q121:Q151">SUM(E121:P121)</f>
        <v>13182.573999999999</v>
      </c>
    </row>
    <row r="122" spans="1:17" ht="12.75" hidden="1">
      <c r="A122" s="187">
        <v>2</v>
      </c>
      <c r="B122" s="277" t="s">
        <v>1</v>
      </c>
      <c r="C122" s="110"/>
      <c r="D122" s="111"/>
      <c r="E122" s="112">
        <f>(4333.4*1.2)+3777.4+15.6+12.48</f>
        <v>9005.56</v>
      </c>
      <c r="F122" s="113">
        <f>3080.07+817.73</f>
        <v>3897.8</v>
      </c>
      <c r="G122" s="114">
        <f>660.1+446.88+1843.2+164.39+656.1+65.61</f>
        <v>3836.28</v>
      </c>
      <c r="H122" s="114"/>
      <c r="I122" s="115"/>
      <c r="J122" s="100"/>
      <c r="K122" s="116">
        <v>1869.89</v>
      </c>
      <c r="L122" s="116">
        <v>7086.59</v>
      </c>
      <c r="M122" s="117"/>
      <c r="N122" s="117"/>
      <c r="O122" s="100"/>
      <c r="P122" s="116">
        <f>486+320</f>
        <v>806</v>
      </c>
      <c r="Q122" s="118">
        <f t="shared" si="8"/>
        <v>26502.12</v>
      </c>
    </row>
    <row r="123" spans="1:17" ht="12.75" hidden="1">
      <c r="A123" s="187">
        <v>3</v>
      </c>
      <c r="B123" s="277" t="s">
        <v>2</v>
      </c>
      <c r="C123" s="110"/>
      <c r="D123" s="111"/>
      <c r="E123" s="112">
        <f>(6933.44*1.2)+696+650+2807.13+1700.5+2400+1120</f>
        <v>17693.757999999998</v>
      </c>
      <c r="F123" s="113">
        <v>6562.54</v>
      </c>
      <c r="G123" s="114">
        <f>571.71+660.11+164.39</f>
        <v>1396.21</v>
      </c>
      <c r="H123" s="114">
        <f>119.12+125.26+648.79</f>
        <v>893.17</v>
      </c>
      <c r="I123" s="113"/>
      <c r="J123" s="100"/>
      <c r="K123" s="116">
        <v>8044.02</v>
      </c>
      <c r="L123" s="116"/>
      <c r="M123" s="116"/>
      <c r="N123" s="116">
        <v>25.46</v>
      </c>
      <c r="O123" s="100"/>
      <c r="P123" s="116">
        <f>1620+800+320+160</f>
        <v>2900</v>
      </c>
      <c r="Q123" s="118">
        <f t="shared" si="8"/>
        <v>37515.157999999996</v>
      </c>
    </row>
    <row r="124" spans="1:17" ht="12.75" hidden="1">
      <c r="A124" s="187">
        <v>4</v>
      </c>
      <c r="B124" s="277" t="s">
        <v>3</v>
      </c>
      <c r="C124" s="110"/>
      <c r="D124" s="111"/>
      <c r="E124" s="112">
        <f>12.48+15.6</f>
        <v>28.08</v>
      </c>
      <c r="F124" s="113">
        <f>2970.56</f>
        <v>2970.56</v>
      </c>
      <c r="G124" s="114">
        <f>660.1+1843.2+164.39</f>
        <v>2667.69</v>
      </c>
      <c r="H124" s="114">
        <v>319</v>
      </c>
      <c r="I124" s="113"/>
      <c r="J124" s="100"/>
      <c r="K124" s="116">
        <v>2070.71</v>
      </c>
      <c r="L124" s="116">
        <v>5652.28</v>
      </c>
      <c r="M124" s="117"/>
      <c r="N124" s="117"/>
      <c r="O124" s="100"/>
      <c r="P124" s="116">
        <f>486+320</f>
        <v>806</v>
      </c>
      <c r="Q124" s="118">
        <f t="shared" si="8"/>
        <v>14514.32</v>
      </c>
    </row>
    <row r="125" spans="1:17" ht="12.75" hidden="1">
      <c r="A125" s="187">
        <v>5</v>
      </c>
      <c r="B125" s="277" t="s">
        <v>4</v>
      </c>
      <c r="C125" s="110"/>
      <c r="D125" s="111"/>
      <c r="E125" s="112">
        <f>18.72+37.44</f>
        <v>56.16</v>
      </c>
      <c r="F125" s="113">
        <f>685.94</f>
        <v>685.94</v>
      </c>
      <c r="G125" s="114">
        <f>660.1+164.39</f>
        <v>824.49</v>
      </c>
      <c r="H125" s="114"/>
      <c r="I125" s="113"/>
      <c r="J125" s="100"/>
      <c r="K125" s="116">
        <v>1560.49</v>
      </c>
      <c r="L125" s="116"/>
      <c r="M125" s="116">
        <v>35733</v>
      </c>
      <c r="N125" s="116"/>
      <c r="O125" s="100"/>
      <c r="P125" s="116">
        <f>320</f>
        <v>320</v>
      </c>
      <c r="Q125" s="118">
        <f t="shared" si="8"/>
        <v>39180.08</v>
      </c>
    </row>
    <row r="126" spans="1:17" ht="12.75" hidden="1">
      <c r="A126" s="187">
        <v>6</v>
      </c>
      <c r="B126" s="277" t="s">
        <v>5</v>
      </c>
      <c r="C126" s="110"/>
      <c r="D126" s="111"/>
      <c r="E126" s="112">
        <f>((5200.08+4333.4+2600.04)*1.2)+1043+6600+978+685+4980.49+87.36+143.52</f>
        <v>29077.594</v>
      </c>
      <c r="F126" s="113">
        <f>5266.71+1928.4</f>
        <v>7195.110000000001</v>
      </c>
      <c r="G126" s="113">
        <f>308.03+660.11+1843.2+164.39+656.1+65.61+656.1+65.61</f>
        <v>4419.15</v>
      </c>
      <c r="H126" s="113"/>
      <c r="I126" s="113">
        <f>64363.5</f>
        <v>64363.5</v>
      </c>
      <c r="J126" s="116">
        <f>2201.47+3816.96</f>
        <v>6018.43</v>
      </c>
      <c r="K126" s="116">
        <v>13887.06</v>
      </c>
      <c r="L126" s="116"/>
      <c r="M126" s="116"/>
      <c r="N126" s="116"/>
      <c r="O126" s="100"/>
      <c r="P126" s="116">
        <f>486+320</f>
        <v>806</v>
      </c>
      <c r="Q126" s="118">
        <f t="shared" si="8"/>
        <v>125766.84399999998</v>
      </c>
    </row>
    <row r="127" spans="1:17" ht="12.75" hidden="1">
      <c r="A127" s="187">
        <v>7</v>
      </c>
      <c r="B127" s="277" t="s">
        <v>6</v>
      </c>
      <c r="C127" s="110"/>
      <c r="D127" s="111"/>
      <c r="E127" s="112">
        <f>15.6+15.6</f>
        <v>31.2</v>
      </c>
      <c r="F127" s="113">
        <f>1103.47</f>
        <v>1103.47</v>
      </c>
      <c r="G127" s="114">
        <f>660.1+164.39</f>
        <v>824.49</v>
      </c>
      <c r="H127" s="114"/>
      <c r="I127" s="115"/>
      <c r="J127" s="116">
        <f>378.4</f>
        <v>378.4</v>
      </c>
      <c r="K127" s="116">
        <v>2442.52</v>
      </c>
      <c r="L127" s="119"/>
      <c r="M127" s="116"/>
      <c r="N127" s="116"/>
      <c r="O127" s="100"/>
      <c r="P127" s="116">
        <f>486+320</f>
        <v>806</v>
      </c>
      <c r="Q127" s="118">
        <f t="shared" si="8"/>
        <v>5586.08</v>
      </c>
    </row>
    <row r="128" spans="1:17" ht="12.75" hidden="1">
      <c r="A128" s="187">
        <v>8</v>
      </c>
      <c r="B128" s="277" t="s">
        <v>7</v>
      </c>
      <c r="C128" s="110"/>
      <c r="D128" s="111"/>
      <c r="E128" s="112">
        <f>28.08</f>
        <v>28.08</v>
      </c>
      <c r="F128" s="113">
        <f>1917.37</f>
        <v>1917.37</v>
      </c>
      <c r="G128" s="114">
        <f>660.1+164.39</f>
        <v>824.49</v>
      </c>
      <c r="H128" s="114"/>
      <c r="I128" s="113"/>
      <c r="J128" s="116">
        <f>465.05</f>
        <v>465.05</v>
      </c>
      <c r="K128" s="116">
        <v>4477.94</v>
      </c>
      <c r="L128" s="119"/>
      <c r="M128" s="116"/>
      <c r="N128" s="119"/>
      <c r="O128" s="100"/>
      <c r="P128" s="116">
        <f>486+320</f>
        <v>806</v>
      </c>
      <c r="Q128" s="118">
        <f t="shared" si="8"/>
        <v>8518.93</v>
      </c>
    </row>
    <row r="129" spans="1:17" ht="12.75" hidden="1">
      <c r="A129" s="187">
        <v>9</v>
      </c>
      <c r="B129" s="277" t="s">
        <v>8</v>
      </c>
      <c r="C129" s="110"/>
      <c r="D129" s="111"/>
      <c r="E129" s="120">
        <f>21.84+21.84</f>
        <v>43.68</v>
      </c>
      <c r="F129" s="113">
        <f>2122.38</f>
        <v>2122.38</v>
      </c>
      <c r="G129" s="114">
        <f>660.1+1843.2+164.39</f>
        <v>2667.69</v>
      </c>
      <c r="H129" s="114"/>
      <c r="I129" s="113">
        <f>149941.58</f>
        <v>149941.58</v>
      </c>
      <c r="J129" s="116">
        <f>964.92</f>
        <v>964.92</v>
      </c>
      <c r="K129" s="116">
        <v>2822.46</v>
      </c>
      <c r="L129" s="119"/>
      <c r="M129" s="116"/>
      <c r="N129" s="116"/>
      <c r="O129" s="100"/>
      <c r="P129" s="116">
        <f>486+320</f>
        <v>806</v>
      </c>
      <c r="Q129" s="118">
        <f t="shared" si="8"/>
        <v>159368.71</v>
      </c>
    </row>
    <row r="130" spans="1:17" ht="12.75" hidden="1">
      <c r="A130" s="187">
        <v>10</v>
      </c>
      <c r="B130" s="277" t="s">
        <v>9</v>
      </c>
      <c r="C130" s="110"/>
      <c r="D130" s="111"/>
      <c r="E130" s="120">
        <f>(4766.74*1.2)+15.6+49.92</f>
        <v>5785.608</v>
      </c>
      <c r="F130" s="113">
        <f>3322</f>
        <v>3322</v>
      </c>
      <c r="G130" s="114">
        <f>660.1+1843.2+164.39+656.1+65.61</f>
        <v>3389.4</v>
      </c>
      <c r="H130" s="114"/>
      <c r="I130" s="115"/>
      <c r="J130" s="116"/>
      <c r="K130" s="116">
        <v>2898.46</v>
      </c>
      <c r="L130" s="119">
        <v>5935.37</v>
      </c>
      <c r="M130" s="116"/>
      <c r="N130" s="116"/>
      <c r="O130" s="100"/>
      <c r="P130" s="116">
        <f>320</f>
        <v>320</v>
      </c>
      <c r="Q130" s="118">
        <f t="shared" si="8"/>
        <v>21650.838</v>
      </c>
    </row>
    <row r="131" spans="1:17" ht="12.75" hidden="1">
      <c r="A131" s="187">
        <v>11</v>
      </c>
      <c r="B131" s="277" t="s">
        <v>10</v>
      </c>
      <c r="C131" s="110"/>
      <c r="D131" s="111"/>
      <c r="E131" s="120">
        <f>31.2+21.84</f>
        <v>53.04</v>
      </c>
      <c r="F131" s="113">
        <f>1844.56</f>
        <v>1844.56</v>
      </c>
      <c r="G131" s="114">
        <f>660.1+164.39</f>
        <v>824.49</v>
      </c>
      <c r="H131" s="114"/>
      <c r="I131" s="113"/>
      <c r="J131" s="116"/>
      <c r="K131" s="116">
        <v>578.06</v>
      </c>
      <c r="L131" s="119"/>
      <c r="M131" s="116"/>
      <c r="N131" s="119"/>
      <c r="O131" s="100"/>
      <c r="P131" s="116">
        <f>486+320</f>
        <v>806</v>
      </c>
      <c r="Q131" s="118">
        <f t="shared" si="8"/>
        <v>4106.15</v>
      </c>
    </row>
    <row r="132" spans="1:17" ht="12" customHeight="1" hidden="1">
      <c r="A132" s="187">
        <v>12</v>
      </c>
      <c r="B132" s="277" t="s">
        <v>11</v>
      </c>
      <c r="C132" s="110"/>
      <c r="D132" s="111"/>
      <c r="E132" s="120">
        <f>5200.08*1.2</f>
        <v>6240.096</v>
      </c>
      <c r="F132" s="113">
        <v>2926.15</v>
      </c>
      <c r="G132" s="114">
        <f>571.71+660.11+164.39</f>
        <v>1396.21</v>
      </c>
      <c r="H132" s="114">
        <v>629.17</v>
      </c>
      <c r="I132" s="113"/>
      <c r="J132" s="116"/>
      <c r="K132" s="116">
        <v>5997.73</v>
      </c>
      <c r="L132" s="116">
        <f>8065.2+804.82+70427.37</f>
        <v>79297.39</v>
      </c>
      <c r="M132" s="119"/>
      <c r="N132" s="119"/>
      <c r="O132" s="100"/>
      <c r="P132" s="116">
        <f>800+320+160</f>
        <v>1280</v>
      </c>
      <c r="Q132" s="118">
        <f t="shared" si="8"/>
        <v>97766.746</v>
      </c>
    </row>
    <row r="133" spans="1:17" ht="12.75" hidden="1">
      <c r="A133" s="187">
        <v>13</v>
      </c>
      <c r="B133" s="277" t="s">
        <v>13</v>
      </c>
      <c r="C133" s="110"/>
      <c r="D133" s="111"/>
      <c r="E133" s="120">
        <f>18.72</f>
        <v>18.72</v>
      </c>
      <c r="F133" s="113">
        <f>221.68</f>
        <v>221.68</v>
      </c>
      <c r="G133" s="114">
        <f>660.1+1500.3+164.39</f>
        <v>2324.79</v>
      </c>
      <c r="H133" s="114"/>
      <c r="I133" s="115"/>
      <c r="J133" s="116"/>
      <c r="K133" s="116">
        <v>1373.23</v>
      </c>
      <c r="L133" s="116">
        <v>7331.93</v>
      </c>
      <c r="M133" s="119"/>
      <c r="N133" s="119"/>
      <c r="O133" s="100"/>
      <c r="P133" s="116">
        <f>486+320</f>
        <v>806</v>
      </c>
      <c r="Q133" s="118">
        <f t="shared" si="8"/>
        <v>12076.35</v>
      </c>
    </row>
    <row r="134" spans="1:17" ht="12.75" hidden="1">
      <c r="A134" s="187">
        <v>14</v>
      </c>
      <c r="B134" s="277" t="s">
        <v>14</v>
      </c>
      <c r="C134" s="110"/>
      <c r="D134" s="111"/>
      <c r="E134" s="120">
        <f>(1733.36*1.2)+24.96</f>
        <v>2104.9919999999997</v>
      </c>
      <c r="F134" s="113">
        <f>1493.25</f>
        <v>1493.25</v>
      </c>
      <c r="G134" s="114">
        <f>660.1+164.39</f>
        <v>824.49</v>
      </c>
      <c r="H134" s="114"/>
      <c r="I134" s="113"/>
      <c r="J134" s="116">
        <f>279.93</f>
        <v>279.93</v>
      </c>
      <c r="K134" s="116">
        <v>1508.93</v>
      </c>
      <c r="L134" s="119"/>
      <c r="M134" s="119"/>
      <c r="N134" s="119"/>
      <c r="O134" s="100"/>
      <c r="P134" s="116">
        <f>486+320</f>
        <v>806</v>
      </c>
      <c r="Q134" s="118">
        <f t="shared" si="8"/>
        <v>7017.592000000001</v>
      </c>
    </row>
    <row r="135" spans="1:17" ht="12.75" hidden="1">
      <c r="A135" s="187">
        <v>15</v>
      </c>
      <c r="B135" s="277" t="s">
        <v>15</v>
      </c>
      <c r="C135" s="110"/>
      <c r="D135" s="111"/>
      <c r="E135" s="120">
        <f>18.72</f>
        <v>18.72</v>
      </c>
      <c r="F135" s="113">
        <f>144.36</f>
        <v>144.36</v>
      </c>
      <c r="G135" s="114">
        <f>660.1+1500.3+164.39</f>
        <v>2324.79</v>
      </c>
      <c r="H135" s="114"/>
      <c r="I135" s="113"/>
      <c r="J135" s="100"/>
      <c r="K135" s="116">
        <v>1289.1</v>
      </c>
      <c r="L135" s="119"/>
      <c r="M135" s="119"/>
      <c r="N135" s="119"/>
      <c r="O135" s="100"/>
      <c r="P135" s="116">
        <f>320</f>
        <v>320</v>
      </c>
      <c r="Q135" s="118">
        <f t="shared" si="8"/>
        <v>4096.969999999999</v>
      </c>
    </row>
    <row r="136" spans="1:17" ht="12.75" hidden="1">
      <c r="A136" s="187">
        <v>16</v>
      </c>
      <c r="B136" s="277" t="s">
        <v>16</v>
      </c>
      <c r="C136" s="110"/>
      <c r="D136" s="111"/>
      <c r="E136" s="120"/>
      <c r="F136" s="113">
        <v>2003.62</v>
      </c>
      <c r="G136" s="114">
        <f>660.1+164.39</f>
        <v>824.49</v>
      </c>
      <c r="H136" s="114">
        <f>212.2</f>
        <v>212.2</v>
      </c>
      <c r="I136" s="115"/>
      <c r="J136" s="100"/>
      <c r="K136" s="116">
        <v>3256.69</v>
      </c>
      <c r="L136" s="119"/>
      <c r="M136" s="116">
        <v>44458.5</v>
      </c>
      <c r="N136" s="116"/>
      <c r="O136" s="100"/>
      <c r="P136" s="116">
        <f>320+160+160</f>
        <v>640</v>
      </c>
      <c r="Q136" s="118">
        <f t="shared" si="8"/>
        <v>51395.5</v>
      </c>
    </row>
    <row r="137" spans="1:17" ht="12.75" hidden="1">
      <c r="A137" s="187">
        <v>17</v>
      </c>
      <c r="B137" s="277" t="s">
        <v>17</v>
      </c>
      <c r="C137" s="110"/>
      <c r="D137" s="111"/>
      <c r="E137" s="120">
        <f>(14300.22*1.2)+34.32</f>
        <v>17194.584</v>
      </c>
      <c r="F137" s="113">
        <f>1044.8</f>
        <v>1044.8</v>
      </c>
      <c r="G137" s="114">
        <f>660.1+164.39</f>
        <v>824.49</v>
      </c>
      <c r="H137" s="114"/>
      <c r="I137" s="113"/>
      <c r="J137" s="100"/>
      <c r="K137" s="116">
        <v>2447.94</v>
      </c>
      <c r="L137" s="119"/>
      <c r="M137" s="116"/>
      <c r="N137" s="116"/>
      <c r="O137" s="100"/>
      <c r="P137" s="116">
        <f>486+320</f>
        <v>806</v>
      </c>
      <c r="Q137" s="118">
        <f t="shared" si="8"/>
        <v>22317.814</v>
      </c>
    </row>
    <row r="138" spans="1:17" ht="12.75" hidden="1">
      <c r="A138" s="187">
        <v>18</v>
      </c>
      <c r="B138" s="277" t="s">
        <v>18</v>
      </c>
      <c r="C138" s="110"/>
      <c r="D138" s="111"/>
      <c r="E138" s="189">
        <f>28.08</f>
        <v>28.08</v>
      </c>
      <c r="F138" s="113">
        <f>630.89+230.47</f>
        <v>861.36</v>
      </c>
      <c r="G138" s="114">
        <f>660.1+1500.3+164.39</f>
        <v>2324.79</v>
      </c>
      <c r="H138" s="114"/>
      <c r="I138" s="113"/>
      <c r="J138" s="116">
        <f>542.87</f>
        <v>542.87</v>
      </c>
      <c r="K138" s="116">
        <v>1400.38</v>
      </c>
      <c r="L138" s="116">
        <v>5878.75</v>
      </c>
      <c r="M138" s="116"/>
      <c r="N138" s="116"/>
      <c r="O138" s="100"/>
      <c r="P138" s="116">
        <f>486+320</f>
        <v>806</v>
      </c>
      <c r="Q138" s="118">
        <f t="shared" si="8"/>
        <v>11842.23</v>
      </c>
    </row>
    <row r="139" spans="1:17" ht="12.75" hidden="1">
      <c r="A139" s="187">
        <v>19</v>
      </c>
      <c r="B139" s="277" t="s">
        <v>19</v>
      </c>
      <c r="C139" s="110"/>
      <c r="D139" s="111"/>
      <c r="E139" s="120">
        <f>18.72</f>
        <v>18.72</v>
      </c>
      <c r="F139" s="113">
        <f>1993.27</f>
        <v>1993.27</v>
      </c>
      <c r="G139" s="114">
        <f>660.1+1500.3+164.39</f>
        <v>2324.79</v>
      </c>
      <c r="H139" s="114"/>
      <c r="I139" s="113"/>
      <c r="J139" s="119">
        <f>482.46</f>
        <v>482.46</v>
      </c>
      <c r="K139" s="116">
        <v>1085.57</v>
      </c>
      <c r="L139" s="119"/>
      <c r="M139" s="119"/>
      <c r="N139" s="119"/>
      <c r="O139" s="100"/>
      <c r="P139" s="116">
        <f>320</f>
        <v>320</v>
      </c>
      <c r="Q139" s="118">
        <f t="shared" si="8"/>
        <v>6224.8099999999995</v>
      </c>
    </row>
    <row r="140" spans="1:17" ht="12.75" hidden="1">
      <c r="A140" s="187">
        <v>20</v>
      </c>
      <c r="B140" s="277" t="s">
        <v>20</v>
      </c>
      <c r="C140" s="121"/>
      <c r="D140" s="113"/>
      <c r="E140" s="120">
        <f>21.84</f>
        <v>21.84</v>
      </c>
      <c r="F140" s="113">
        <f>374.78</f>
        <v>374.78</v>
      </c>
      <c r="G140" s="114">
        <f>660.1+1500.3+164.39</f>
        <v>2324.79</v>
      </c>
      <c r="H140" s="114"/>
      <c r="I140" s="113"/>
      <c r="J140" s="119"/>
      <c r="K140" s="116">
        <v>3335.39</v>
      </c>
      <c r="L140" s="119"/>
      <c r="M140" s="119"/>
      <c r="N140" s="119"/>
      <c r="O140" s="100"/>
      <c r="P140" s="116">
        <f>320</f>
        <v>320</v>
      </c>
      <c r="Q140" s="118">
        <f t="shared" si="8"/>
        <v>6376.799999999999</v>
      </c>
    </row>
    <row r="141" spans="1:17" ht="12.75" hidden="1">
      <c r="A141" s="187">
        <v>21</v>
      </c>
      <c r="B141" s="277" t="s">
        <v>21</v>
      </c>
      <c r="C141" s="121"/>
      <c r="D141" s="115"/>
      <c r="E141" s="120">
        <f>21.84</f>
        <v>21.84</v>
      </c>
      <c r="F141" s="113">
        <f>440.94</f>
        <v>440.94</v>
      </c>
      <c r="G141" s="114">
        <f>660.1+164.39</f>
        <v>824.49</v>
      </c>
      <c r="H141" s="114"/>
      <c r="I141" s="113"/>
      <c r="J141" s="119"/>
      <c r="K141" s="116">
        <v>2713.91</v>
      </c>
      <c r="L141" s="119"/>
      <c r="M141" s="116">
        <v>40303.5</v>
      </c>
      <c r="N141" s="116"/>
      <c r="O141" s="100"/>
      <c r="P141" s="116">
        <f>320</f>
        <v>320</v>
      </c>
      <c r="Q141" s="118">
        <f t="shared" si="8"/>
        <v>44624.68</v>
      </c>
    </row>
    <row r="142" spans="1:17" ht="12.75" hidden="1">
      <c r="A142" s="187">
        <v>22</v>
      </c>
      <c r="B142" s="277" t="s">
        <v>22</v>
      </c>
      <c r="C142" s="121"/>
      <c r="D142" s="115"/>
      <c r="E142" s="120"/>
      <c r="F142" s="113">
        <v>783.4</v>
      </c>
      <c r="G142" s="114">
        <f>149+149+660.11+164.39</f>
        <v>1122.5</v>
      </c>
      <c r="H142" s="114">
        <v>180</v>
      </c>
      <c r="I142" s="113"/>
      <c r="J142" s="100"/>
      <c r="K142" s="116">
        <v>561.78</v>
      </c>
      <c r="L142" s="119"/>
      <c r="M142" s="116">
        <v>39749.5</v>
      </c>
      <c r="N142" s="116"/>
      <c r="O142" s="100"/>
      <c r="P142" s="116">
        <f>320</f>
        <v>320</v>
      </c>
      <c r="Q142" s="118">
        <f t="shared" si="8"/>
        <v>42717.18</v>
      </c>
    </row>
    <row r="143" spans="1:17" ht="12.75" hidden="1">
      <c r="A143" s="187">
        <v>23</v>
      </c>
      <c r="B143" s="277" t="s">
        <v>23</v>
      </c>
      <c r="C143" s="121"/>
      <c r="D143" s="115"/>
      <c r="E143" s="120">
        <f>12.48</f>
        <v>12.48</v>
      </c>
      <c r="F143" s="113">
        <f>314.96+118.76</f>
        <v>433.71999999999997</v>
      </c>
      <c r="G143" s="114">
        <f>660.1+1500.3+164.39</f>
        <v>2324.79</v>
      </c>
      <c r="H143" s="114"/>
      <c r="I143" s="115"/>
      <c r="J143" s="100"/>
      <c r="K143" s="116">
        <v>678.48</v>
      </c>
      <c r="L143" s="119">
        <v>4340.65</v>
      </c>
      <c r="M143" s="119"/>
      <c r="N143" s="119"/>
      <c r="O143" s="100"/>
      <c r="P143" s="116">
        <f>486+320</f>
        <v>806</v>
      </c>
      <c r="Q143" s="118">
        <f t="shared" si="8"/>
        <v>8596.119999999999</v>
      </c>
    </row>
    <row r="144" spans="1:17" ht="12.75" hidden="1">
      <c r="A144" s="187">
        <v>24</v>
      </c>
      <c r="B144" s="277" t="s">
        <v>24</v>
      </c>
      <c r="C144" s="121"/>
      <c r="D144" s="115"/>
      <c r="E144" s="120"/>
      <c r="F144" s="113"/>
      <c r="G144" s="113">
        <f>1843.2</f>
        <v>1843.2</v>
      </c>
      <c r="H144" s="115"/>
      <c r="I144" s="115"/>
      <c r="J144" s="100"/>
      <c r="K144" s="116">
        <v>94.99</v>
      </c>
      <c r="L144" s="100"/>
      <c r="M144" s="100"/>
      <c r="N144" s="100"/>
      <c r="O144" s="100"/>
      <c r="P144" s="116">
        <f>320</f>
        <v>320</v>
      </c>
      <c r="Q144" s="118">
        <f t="shared" si="8"/>
        <v>2258.19</v>
      </c>
    </row>
    <row r="145" spans="1:17" ht="12.75" hidden="1">
      <c r="A145" s="187">
        <v>25</v>
      </c>
      <c r="B145" s="277" t="s">
        <v>25</v>
      </c>
      <c r="C145" s="121"/>
      <c r="D145" s="115"/>
      <c r="E145" s="120"/>
      <c r="F145" s="113"/>
      <c r="G145" s="113">
        <f>1500.3</f>
        <v>1500.3</v>
      </c>
      <c r="H145" s="115"/>
      <c r="I145" s="115"/>
      <c r="J145" s="100"/>
      <c r="K145" s="116">
        <v>54.28</v>
      </c>
      <c r="L145" s="100"/>
      <c r="M145" s="100"/>
      <c r="N145" s="100"/>
      <c r="O145" s="100"/>
      <c r="P145" s="100"/>
      <c r="Q145" s="118">
        <f t="shared" si="8"/>
        <v>1554.58</v>
      </c>
    </row>
    <row r="146" spans="1:17" ht="12.75" hidden="1">
      <c r="A146" s="187">
        <v>26</v>
      </c>
      <c r="B146" s="277" t="s">
        <v>26</v>
      </c>
      <c r="C146" s="121"/>
      <c r="D146" s="115"/>
      <c r="E146" s="120"/>
      <c r="F146" s="113"/>
      <c r="G146" s="115"/>
      <c r="H146" s="115"/>
      <c r="I146" s="111"/>
      <c r="J146" s="100"/>
      <c r="K146" s="116">
        <v>21.71</v>
      </c>
      <c r="L146" s="100"/>
      <c r="M146" s="100"/>
      <c r="N146" s="100"/>
      <c r="O146" s="100"/>
      <c r="P146" s="100"/>
      <c r="Q146" s="118">
        <f t="shared" si="8"/>
        <v>21.71</v>
      </c>
    </row>
    <row r="147" spans="1:17" ht="12.75" hidden="1">
      <c r="A147" s="187">
        <v>27</v>
      </c>
      <c r="B147" s="277" t="s">
        <v>27</v>
      </c>
      <c r="C147" s="121"/>
      <c r="D147" s="115"/>
      <c r="E147" s="120"/>
      <c r="F147" s="113">
        <f>559.54</f>
        <v>559.54</v>
      </c>
      <c r="G147" s="115">
        <f>164.34+0.09</f>
        <v>164.43</v>
      </c>
      <c r="H147" s="115"/>
      <c r="I147" s="111"/>
      <c r="J147" s="100"/>
      <c r="K147" s="116">
        <v>1080.17</v>
      </c>
      <c r="L147" s="119">
        <v>9.44</v>
      </c>
      <c r="M147" s="100"/>
      <c r="N147" s="100"/>
      <c r="O147" s="100"/>
      <c r="P147" s="100"/>
      <c r="Q147" s="118">
        <f t="shared" si="8"/>
        <v>1813.5800000000002</v>
      </c>
    </row>
    <row r="148" spans="1:17" ht="12.75" hidden="1">
      <c r="A148" s="187">
        <v>28</v>
      </c>
      <c r="B148" s="277" t="s">
        <v>28</v>
      </c>
      <c r="C148" s="121"/>
      <c r="D148" s="115"/>
      <c r="E148" s="120"/>
      <c r="F148" s="113"/>
      <c r="G148" s="115"/>
      <c r="H148" s="115"/>
      <c r="I148" s="111"/>
      <c r="J148" s="100"/>
      <c r="K148" s="116">
        <v>43.43</v>
      </c>
      <c r="L148" s="100"/>
      <c r="M148" s="116"/>
      <c r="N148" s="116"/>
      <c r="O148" s="100"/>
      <c r="P148" s="100"/>
      <c r="Q148" s="118">
        <f t="shared" si="8"/>
        <v>43.43</v>
      </c>
    </row>
    <row r="149" spans="1:17" ht="12.75" hidden="1">
      <c r="A149" s="187">
        <v>29</v>
      </c>
      <c r="B149" s="277" t="s">
        <v>29</v>
      </c>
      <c r="C149" s="121"/>
      <c r="D149" s="115"/>
      <c r="E149" s="120"/>
      <c r="F149" s="113"/>
      <c r="G149" s="115"/>
      <c r="H149" s="115"/>
      <c r="I149" s="122"/>
      <c r="J149" s="100"/>
      <c r="K149" s="116">
        <v>27.13</v>
      </c>
      <c r="L149" s="100"/>
      <c r="M149" s="116"/>
      <c r="N149" s="116"/>
      <c r="O149" s="100"/>
      <c r="P149" s="100"/>
      <c r="Q149" s="118">
        <f t="shared" si="8"/>
        <v>27.13</v>
      </c>
    </row>
    <row r="150" spans="1:17" ht="12.75" hidden="1">
      <c r="A150" s="187">
        <v>30</v>
      </c>
      <c r="B150" s="277" t="s">
        <v>37</v>
      </c>
      <c r="C150" s="121"/>
      <c r="D150" s="115"/>
      <c r="E150" s="115"/>
      <c r="F150" s="113"/>
      <c r="G150" s="122"/>
      <c r="H150" s="122"/>
      <c r="I150" s="123"/>
      <c r="J150" s="100"/>
      <c r="K150" s="116"/>
      <c r="L150" s="124"/>
      <c r="M150" s="100"/>
      <c r="N150" s="100"/>
      <c r="O150" s="100"/>
      <c r="P150" s="100"/>
      <c r="Q150" s="118">
        <f t="shared" si="8"/>
        <v>0</v>
      </c>
    </row>
    <row r="151" spans="1:17" ht="13.5" hidden="1" thickBot="1">
      <c r="A151" s="187">
        <v>31</v>
      </c>
      <c r="B151" s="278" t="s">
        <v>36</v>
      </c>
      <c r="C151" s="125"/>
      <c r="D151" s="126"/>
      <c r="E151" s="127"/>
      <c r="F151" s="127">
        <f>448.48+421.72</f>
        <v>870.2</v>
      </c>
      <c r="G151" s="127"/>
      <c r="H151" s="127"/>
      <c r="I151" s="128"/>
      <c r="J151" s="101"/>
      <c r="K151" s="129"/>
      <c r="L151" s="130"/>
      <c r="M151" s="101"/>
      <c r="N151" s="101"/>
      <c r="O151" s="101"/>
      <c r="P151" s="101"/>
      <c r="Q151" s="118">
        <f t="shared" si="8"/>
        <v>870.2</v>
      </c>
    </row>
    <row r="152" spans="2:17" s="137" customFormat="1" ht="13.5" hidden="1" thickBot="1">
      <c r="B152" s="293" t="s">
        <v>12</v>
      </c>
      <c r="C152" s="182">
        <f>SUM(C140:C151)</f>
        <v>0</v>
      </c>
      <c r="D152" s="182">
        <f>SUM(D140:D151)</f>
        <v>0</v>
      </c>
      <c r="E152" s="183">
        <f>SUM(E121:E150)+E151</f>
        <v>94283.496</v>
      </c>
      <c r="F152" s="184">
        <f>SUM(F121:F150)+F151</f>
        <v>47359.75000000001</v>
      </c>
      <c r="G152" s="184">
        <f>SUM(G121:G150)+G151</f>
        <v>48337.12000000001</v>
      </c>
      <c r="H152" s="184">
        <f>SUM(H121:H150)+H151</f>
        <v>2233.54</v>
      </c>
      <c r="I152" s="184">
        <f aca="true" t="shared" si="9" ref="I152:P152">SUM(I121:I150)</f>
        <v>214305.08</v>
      </c>
      <c r="J152" s="184">
        <f>SUM(J121:J150)</f>
        <v>9132.06</v>
      </c>
      <c r="K152" s="184">
        <f>SUM(K121:K150)+K151</f>
        <v>68708.01</v>
      </c>
      <c r="L152" s="184">
        <f>SUM(L121:L150)</f>
        <v>115532.4</v>
      </c>
      <c r="M152" s="193">
        <f t="shared" si="9"/>
        <v>160244.5</v>
      </c>
      <c r="N152" s="193">
        <f t="shared" si="9"/>
        <v>25.46</v>
      </c>
      <c r="O152" s="193">
        <f t="shared" si="9"/>
        <v>0</v>
      </c>
      <c r="P152" s="193">
        <f t="shared" si="9"/>
        <v>17372</v>
      </c>
      <c r="Q152" s="179">
        <f>SUM(Q121:Q150)+Q151</f>
        <v>777533.416</v>
      </c>
    </row>
    <row r="153" spans="2:17" s="137" customFormat="1" ht="13.5" hidden="1" thickBot="1">
      <c r="B153" s="138"/>
      <c r="C153" s="159">
        <v>2110</v>
      </c>
      <c r="D153" s="159">
        <v>2111</v>
      </c>
      <c r="E153" s="159">
        <v>2210</v>
      </c>
      <c r="F153" s="240">
        <v>2230</v>
      </c>
      <c r="G153" s="240">
        <v>2240</v>
      </c>
      <c r="H153" s="240">
        <v>2250</v>
      </c>
      <c r="I153" s="240">
        <v>2271</v>
      </c>
      <c r="J153" s="241">
        <v>2272</v>
      </c>
      <c r="K153" s="241">
        <v>2273</v>
      </c>
      <c r="L153" s="240">
        <v>2274</v>
      </c>
      <c r="M153" s="240">
        <v>2275</v>
      </c>
      <c r="N153" s="93">
        <v>2800</v>
      </c>
      <c r="O153" s="93">
        <v>2730</v>
      </c>
      <c r="P153" s="11">
        <v>2282</v>
      </c>
      <c r="Q153" s="179">
        <f>C152+D152+E152+F152+G152+I152+J152+K152+L152+M152+N152+O152+P152</f>
        <v>775299.8759999999</v>
      </c>
    </row>
    <row r="154" spans="2:17" s="137" customFormat="1" ht="15.75" hidden="1" thickBot="1">
      <c r="B154" s="51" t="s">
        <v>35</v>
      </c>
      <c r="C154" s="51"/>
      <c r="D154" s="51"/>
      <c r="E154" s="98">
        <f>18895.37+9521.83</f>
        <v>28417.199999999997</v>
      </c>
      <c r="F154" s="185">
        <f>35084.04+12275.71</f>
        <v>47359.75</v>
      </c>
      <c r="G154" s="185">
        <f>43736.98+4600.14</f>
        <v>48337.12</v>
      </c>
      <c r="H154" s="185">
        <f>319+1914.54</f>
        <v>2233.54</v>
      </c>
      <c r="I154" s="185">
        <f>214305.08</f>
        <v>214305.08</v>
      </c>
      <c r="J154" s="194">
        <f>9132.06</f>
        <v>9132.06</v>
      </c>
      <c r="K154" s="194">
        <f>51314.58+17393.43</f>
        <v>68708.01000000001</v>
      </c>
      <c r="L154" s="185">
        <f>4281+70427.37</f>
        <v>74708.37</v>
      </c>
      <c r="M154" s="185">
        <f>76036.5+84208</f>
        <v>160244.5</v>
      </c>
      <c r="N154" s="185">
        <v>25.46</v>
      </c>
      <c r="O154" s="237"/>
      <c r="P154" s="160">
        <f>14152+3220</f>
        <v>17372</v>
      </c>
      <c r="Q154" s="179">
        <f>SUM(E154:P154)</f>
        <v>670843.09</v>
      </c>
    </row>
    <row r="155" spans="2:17" ht="15" hidden="1">
      <c r="B155" s="249" t="s">
        <v>12</v>
      </c>
      <c r="C155" s="261"/>
      <c r="D155" s="261"/>
      <c r="E155" s="262">
        <f>SUM(E154)</f>
        <v>28417.199999999997</v>
      </c>
      <c r="F155" s="294">
        <f aca="true" t="shared" si="10" ref="F155:P155">SUM(F154)</f>
        <v>47359.75</v>
      </c>
      <c r="G155" s="294">
        <f t="shared" si="10"/>
        <v>48337.12</v>
      </c>
      <c r="H155" s="294">
        <f t="shared" si="10"/>
        <v>2233.54</v>
      </c>
      <c r="I155" s="294">
        <f t="shared" si="10"/>
        <v>214305.08</v>
      </c>
      <c r="J155" s="294">
        <f t="shared" si="10"/>
        <v>9132.06</v>
      </c>
      <c r="K155" s="294">
        <f t="shared" si="10"/>
        <v>68708.01000000001</v>
      </c>
      <c r="L155" s="294">
        <f t="shared" si="10"/>
        <v>74708.37</v>
      </c>
      <c r="M155" s="294">
        <f t="shared" si="10"/>
        <v>160244.5</v>
      </c>
      <c r="N155" s="262">
        <f t="shared" si="10"/>
        <v>25.46</v>
      </c>
      <c r="O155" s="262">
        <f t="shared" si="10"/>
        <v>0</v>
      </c>
      <c r="P155" s="262">
        <f t="shared" si="10"/>
        <v>17372</v>
      </c>
      <c r="Q155" s="262">
        <f>SUM(E155:P155)</f>
        <v>670843.09</v>
      </c>
    </row>
    <row r="156" spans="2:17" ht="15.75" hidden="1">
      <c r="B156" s="360"/>
      <c r="C156" s="360"/>
      <c r="D156" s="360"/>
      <c r="E156" s="360"/>
      <c r="F156" s="360"/>
      <c r="G156" s="360"/>
      <c r="H156" s="360"/>
      <c r="I156" s="360"/>
      <c r="J156" s="360"/>
      <c r="K156" s="360"/>
      <c r="L156" s="360"/>
      <c r="M156" s="360"/>
      <c r="N156" s="360"/>
      <c r="O156" s="360"/>
      <c r="P156" s="360"/>
      <c r="Q156" s="360"/>
    </row>
    <row r="157" spans="2:17" ht="15.75" hidden="1">
      <c r="B157" s="52"/>
      <c r="C157" s="52"/>
      <c r="D157" s="52"/>
      <c r="E157" s="52"/>
      <c r="F157" s="52"/>
      <c r="G157" s="64"/>
      <c r="H157" s="64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2:17" ht="15.75" hidden="1" thickBot="1">
      <c r="B158" s="361" t="s">
        <v>42</v>
      </c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</row>
    <row r="159" spans="2:17" ht="13.5" hidden="1" thickBot="1">
      <c r="B159" s="315" t="s">
        <v>31</v>
      </c>
      <c r="C159" s="162">
        <v>2110</v>
      </c>
      <c r="D159" s="162">
        <v>2111</v>
      </c>
      <c r="E159" s="159">
        <v>2210</v>
      </c>
      <c r="F159" s="92">
        <v>2230</v>
      </c>
      <c r="G159" s="92">
        <v>2240</v>
      </c>
      <c r="H159" s="240">
        <v>2250</v>
      </c>
      <c r="I159" s="92">
        <v>2271</v>
      </c>
      <c r="J159" s="11">
        <v>2272</v>
      </c>
      <c r="K159" s="11">
        <v>2273</v>
      </c>
      <c r="L159" s="93">
        <v>2274</v>
      </c>
      <c r="M159" s="93">
        <v>2275</v>
      </c>
      <c r="N159" s="93">
        <v>2800</v>
      </c>
      <c r="O159" s="93">
        <v>2730</v>
      </c>
      <c r="P159" s="11">
        <v>2282</v>
      </c>
      <c r="Q159" s="173" t="s">
        <v>30</v>
      </c>
    </row>
    <row r="160" spans="1:17" ht="12.75" hidden="1">
      <c r="A160" s="187">
        <v>1</v>
      </c>
      <c r="B160" s="276" t="s">
        <v>0</v>
      </c>
      <c r="C160" s="35"/>
      <c r="D160" s="36"/>
      <c r="E160" s="79">
        <f>781.2+(5200.08*1.2)</f>
        <v>7021.295999999999</v>
      </c>
      <c r="F160" s="66">
        <f>760.95+170.66</f>
        <v>931.61</v>
      </c>
      <c r="G160" s="66">
        <f>139+139+674.29+63.83+85</f>
        <v>1101.12</v>
      </c>
      <c r="H160" s="66"/>
      <c r="I160" s="66"/>
      <c r="J160" s="37"/>
      <c r="K160" s="20">
        <v>854.88</v>
      </c>
      <c r="L160" s="37"/>
      <c r="M160" s="38"/>
      <c r="N160" s="38"/>
      <c r="O160" s="39"/>
      <c r="P160" s="37"/>
      <c r="Q160" s="23">
        <f>SUM(E160:P160)</f>
        <v>9908.905999999997</v>
      </c>
    </row>
    <row r="161" spans="1:17" ht="12.75" hidden="1">
      <c r="A161" s="187">
        <v>2</v>
      </c>
      <c r="B161" s="277" t="s">
        <v>1</v>
      </c>
      <c r="C161" s="12"/>
      <c r="D161" s="2"/>
      <c r="E161" s="80">
        <f>841.4+(4766.74*1.2)</f>
        <v>6561.487999999999</v>
      </c>
      <c r="F161" s="69">
        <f>1800.52+646.83</f>
        <v>2447.35</v>
      </c>
      <c r="G161" s="69">
        <f>135+135+674.29+63.83</f>
        <v>1008.12</v>
      </c>
      <c r="H161" s="69"/>
      <c r="I161" s="70"/>
      <c r="J161" s="3"/>
      <c r="K161" s="21">
        <v>1481.8</v>
      </c>
      <c r="L161" s="26"/>
      <c r="M161" s="4"/>
      <c r="N161" s="4"/>
      <c r="O161" s="1"/>
      <c r="P161" s="3"/>
      <c r="Q161" s="29">
        <f>SUM(E161:P161)</f>
        <v>11498.758</v>
      </c>
    </row>
    <row r="162" spans="1:17" ht="12.75" hidden="1">
      <c r="A162" s="187">
        <v>3</v>
      </c>
      <c r="B162" s="277" t="s">
        <v>2</v>
      </c>
      <c r="C162" s="12"/>
      <c r="D162" s="2"/>
      <c r="E162" s="80">
        <f>9059.52+555+399+588+60.2+33.6+1372.5+(7799.76*1.2)+(1372.5*1.2)</f>
        <v>23074.532</v>
      </c>
      <c r="F162" s="69">
        <f>8767.13</f>
        <v>8767.13</v>
      </c>
      <c r="G162" s="69">
        <f>63.83+72.31+327.62+250+250+229+150+2220+5820+590</f>
        <v>9972.76</v>
      </c>
      <c r="H162" s="69">
        <f>195.52+130.84</f>
        <v>326.36</v>
      </c>
      <c r="I162" s="69"/>
      <c r="J162" s="3"/>
      <c r="K162" s="21">
        <v>5121.14</v>
      </c>
      <c r="L162" s="26"/>
      <c r="M162" s="21">
        <f>14850+14850+14850+14850+11000+12100+14850</f>
        <v>97350</v>
      </c>
      <c r="N162" s="21">
        <v>0.23</v>
      </c>
      <c r="O162" s="1"/>
      <c r="P162" s="21">
        <f>900+180+180</f>
        <v>1260</v>
      </c>
      <c r="Q162" s="29">
        <f>SUM(E162:P162)</f>
        <v>145872.152</v>
      </c>
    </row>
    <row r="163" spans="1:17" ht="12.75" hidden="1">
      <c r="A163" s="187">
        <v>4</v>
      </c>
      <c r="B163" s="277" t="s">
        <v>3</v>
      </c>
      <c r="C163" s="12"/>
      <c r="D163" s="2"/>
      <c r="E163" s="80">
        <f>837.9</f>
        <v>837.9</v>
      </c>
      <c r="F163" s="69">
        <f>1316.12</f>
        <v>1316.12</v>
      </c>
      <c r="G163" s="69">
        <f>149+149+63.83</f>
        <v>361.83</v>
      </c>
      <c r="H163" s="69"/>
      <c r="I163" s="70"/>
      <c r="J163" s="3"/>
      <c r="K163" s="21">
        <v>1712.47</v>
      </c>
      <c r="L163" s="26"/>
      <c r="M163" s="4"/>
      <c r="N163" s="4"/>
      <c r="O163" s="1"/>
      <c r="P163" s="21"/>
      <c r="Q163" s="29">
        <f aca="true" t="shared" si="11" ref="Q163:Q178">SUM(E163:P163)</f>
        <v>4228.32</v>
      </c>
    </row>
    <row r="164" spans="1:17" ht="12.75" hidden="1">
      <c r="A164" s="187">
        <v>5</v>
      </c>
      <c r="B164" s="277" t="s">
        <v>4</v>
      </c>
      <c r="C164" s="12"/>
      <c r="D164" s="2"/>
      <c r="E164" s="80">
        <f>787.5</f>
        <v>787.5</v>
      </c>
      <c r="F164" s="69">
        <f>633.49</f>
        <v>633.49</v>
      </c>
      <c r="G164" s="69">
        <f>63.83</f>
        <v>63.83</v>
      </c>
      <c r="H164" s="69"/>
      <c r="I164" s="69"/>
      <c r="J164" s="3"/>
      <c r="K164" s="21">
        <v>1424.8</v>
      </c>
      <c r="L164" s="26"/>
      <c r="M164" s="4"/>
      <c r="N164" s="4"/>
      <c r="O164" s="1"/>
      <c r="P164" s="21"/>
      <c r="Q164" s="29">
        <f t="shared" si="11"/>
        <v>2909.62</v>
      </c>
    </row>
    <row r="165" spans="1:17" ht="12.75" hidden="1">
      <c r="A165" s="187">
        <v>6</v>
      </c>
      <c r="B165" s="277" t="s">
        <v>5</v>
      </c>
      <c r="C165" s="12"/>
      <c r="D165" s="2"/>
      <c r="E165" s="80">
        <f>1843.1+((6500.1+6933.44+6066.76)*1.2)</f>
        <v>25243.460000000003</v>
      </c>
      <c r="F165" s="69">
        <f>6054.97+2576.24</f>
        <v>8631.21</v>
      </c>
      <c r="G165" s="69">
        <f>308.05+457.04+674.29+674.29</f>
        <v>2113.67</v>
      </c>
      <c r="H165" s="69"/>
      <c r="I165" s="69">
        <f>100000</f>
        <v>100000</v>
      </c>
      <c r="J165" s="21">
        <f>1975.43+3425.04</f>
        <v>5400.47</v>
      </c>
      <c r="K165" s="21">
        <v>8185.15</v>
      </c>
      <c r="L165" s="26"/>
      <c r="M165" s="4"/>
      <c r="N165" s="21"/>
      <c r="O165" s="1"/>
      <c r="P165" s="21"/>
      <c r="Q165" s="29">
        <f>SUM(E165:P165)</f>
        <v>149573.96</v>
      </c>
    </row>
    <row r="166" spans="1:17" ht="12.75" hidden="1">
      <c r="A166" s="187">
        <v>7</v>
      </c>
      <c r="B166" s="277" t="s">
        <v>6</v>
      </c>
      <c r="C166" s="12"/>
      <c r="D166" s="2"/>
      <c r="E166" s="80">
        <f>12000+12999.8+780.5</f>
        <v>25780.3</v>
      </c>
      <c r="F166" s="69">
        <f>1447.05</f>
        <v>1447.05</v>
      </c>
      <c r="G166" s="69">
        <f>80+80+53.7</f>
        <v>213.7</v>
      </c>
      <c r="H166" s="69"/>
      <c r="I166" s="69"/>
      <c r="J166" s="21">
        <f>496.65</f>
        <v>496.65</v>
      </c>
      <c r="K166" s="21">
        <v>2171.12</v>
      </c>
      <c r="L166" s="27"/>
      <c r="M166" s="4"/>
      <c r="N166" s="4"/>
      <c r="O166" s="1"/>
      <c r="P166" s="21"/>
      <c r="Q166" s="29">
        <f t="shared" si="11"/>
        <v>30108.82</v>
      </c>
    </row>
    <row r="167" spans="1:17" ht="12.75" hidden="1">
      <c r="A167" s="187">
        <v>8</v>
      </c>
      <c r="B167" s="277" t="s">
        <v>7</v>
      </c>
      <c r="C167" s="12"/>
      <c r="D167" s="2"/>
      <c r="E167" s="80">
        <f>5000+864.5</f>
        <v>5864.5</v>
      </c>
      <c r="F167" s="69">
        <f>695.52</f>
        <v>695.52</v>
      </c>
      <c r="G167" s="69">
        <f>229+229+73.52</f>
        <v>531.52</v>
      </c>
      <c r="H167" s="69"/>
      <c r="I167" s="69"/>
      <c r="J167" s="28">
        <v>376.47</v>
      </c>
      <c r="K167" s="21">
        <v>2594.5</v>
      </c>
      <c r="L167" s="27"/>
      <c r="M167" s="3"/>
      <c r="N167" s="3"/>
      <c r="O167" s="1"/>
      <c r="P167" s="21"/>
      <c r="Q167" s="29">
        <f t="shared" si="11"/>
        <v>10062.510000000002</v>
      </c>
    </row>
    <row r="168" spans="1:17" ht="12.75" hidden="1">
      <c r="A168" s="187">
        <v>9</v>
      </c>
      <c r="B168" s="277" t="s">
        <v>8</v>
      </c>
      <c r="C168" s="12"/>
      <c r="D168" s="2"/>
      <c r="E168" s="80">
        <f>1022</f>
        <v>1022</v>
      </c>
      <c r="F168" s="69">
        <f>2044.63</f>
        <v>2044.63</v>
      </c>
      <c r="G168" s="69">
        <f>63.83+63.83+149</f>
        <v>276.65999999999997</v>
      </c>
      <c r="H168" s="69"/>
      <c r="I168" s="69"/>
      <c r="J168" s="28"/>
      <c r="K168" s="21">
        <v>1745.04</v>
      </c>
      <c r="L168" s="27"/>
      <c r="M168" s="4"/>
      <c r="N168" s="4"/>
      <c r="O168" s="1"/>
      <c r="P168" s="21"/>
      <c r="Q168" s="29">
        <f t="shared" si="11"/>
        <v>5088.33</v>
      </c>
    </row>
    <row r="169" spans="1:17" ht="12.75" hidden="1">
      <c r="A169" s="187">
        <v>10</v>
      </c>
      <c r="B169" s="277" t="s">
        <v>9</v>
      </c>
      <c r="C169" s="12"/>
      <c r="D169" s="2"/>
      <c r="E169" s="80">
        <f>780.5+(6500.1*1.2)</f>
        <v>8580.619999999999</v>
      </c>
      <c r="F169" s="69">
        <f>1835.42</f>
        <v>1835.42</v>
      </c>
      <c r="G169" s="69">
        <f>100+100+674.29+63.83</f>
        <v>938.12</v>
      </c>
      <c r="H169" s="69"/>
      <c r="I169" s="69"/>
      <c r="J169" s="28"/>
      <c r="K169" s="21">
        <v>3039.57</v>
      </c>
      <c r="L169" s="27"/>
      <c r="M169" s="4"/>
      <c r="N169" s="4"/>
      <c r="O169" s="1"/>
      <c r="P169" s="21"/>
      <c r="Q169" s="29">
        <f t="shared" si="11"/>
        <v>14393.73</v>
      </c>
    </row>
    <row r="170" spans="1:17" ht="12.75" hidden="1">
      <c r="A170" s="187">
        <v>11</v>
      </c>
      <c r="B170" s="277" t="s">
        <v>10</v>
      </c>
      <c r="C170" s="12"/>
      <c r="D170" s="2"/>
      <c r="E170" s="80">
        <f>10000+844.2</f>
        <v>10844.2</v>
      </c>
      <c r="F170" s="69">
        <f>2288.59+505.61</f>
        <v>2794.2000000000003</v>
      </c>
      <c r="G170" s="69">
        <f>139+139+66.47</f>
        <v>344.47</v>
      </c>
      <c r="H170" s="69"/>
      <c r="I170" s="69"/>
      <c r="J170" s="21">
        <f>771.64</f>
        <v>771.64</v>
      </c>
      <c r="K170" s="21">
        <v>1327.09</v>
      </c>
      <c r="L170" s="27"/>
      <c r="M170" s="3"/>
      <c r="N170" s="3"/>
      <c r="O170" s="1"/>
      <c r="P170" s="21"/>
      <c r="Q170" s="29">
        <f t="shared" si="11"/>
        <v>16081.6</v>
      </c>
    </row>
    <row r="171" spans="1:17" ht="12.75" hidden="1">
      <c r="A171" s="187">
        <v>12</v>
      </c>
      <c r="B171" s="277" t="s">
        <v>11</v>
      </c>
      <c r="C171" s="12"/>
      <c r="D171" s="2"/>
      <c r="E171" s="80">
        <f>274+999+266+514.5+33.6+1372.5+(6933.12*1.2)+(686.25*1.2)</f>
        <v>12602.844</v>
      </c>
      <c r="F171" s="69">
        <f>1985.86</f>
        <v>1985.86</v>
      </c>
      <c r="G171" s="69">
        <f>63.83+229+229+150+590</f>
        <v>1261.83</v>
      </c>
      <c r="H171" s="69"/>
      <c r="I171" s="69"/>
      <c r="J171" s="28"/>
      <c r="K171" s="21">
        <v>4559.36</v>
      </c>
      <c r="L171" s="26"/>
      <c r="M171" s="3"/>
      <c r="N171" s="3"/>
      <c r="O171" s="1"/>
      <c r="P171" s="21">
        <f>900+180+180</f>
        <v>1260</v>
      </c>
      <c r="Q171" s="29">
        <f t="shared" si="11"/>
        <v>21669.894</v>
      </c>
    </row>
    <row r="172" spans="1:17" ht="12.75" hidden="1">
      <c r="A172" s="187">
        <v>13</v>
      </c>
      <c r="B172" s="277" t="s">
        <v>13</v>
      </c>
      <c r="C172" s="12"/>
      <c r="D172" s="2"/>
      <c r="E172" s="80">
        <f>458.5</f>
        <v>458.5</v>
      </c>
      <c r="F172" s="69">
        <f>89.45</f>
        <v>89.45</v>
      </c>
      <c r="G172" s="69">
        <f>38.29</f>
        <v>38.29</v>
      </c>
      <c r="H172" s="69"/>
      <c r="I172" s="69"/>
      <c r="J172" s="28"/>
      <c r="K172" s="21">
        <v>1299.96</v>
      </c>
      <c r="L172" s="27"/>
      <c r="M172" s="3"/>
      <c r="N172" s="3"/>
      <c r="O172" s="1"/>
      <c r="P172" s="21"/>
      <c r="Q172" s="29">
        <f t="shared" si="11"/>
        <v>1886.2</v>
      </c>
    </row>
    <row r="173" spans="1:17" ht="12.75" hidden="1">
      <c r="A173" s="187">
        <v>14</v>
      </c>
      <c r="B173" s="277" t="s">
        <v>14</v>
      </c>
      <c r="C173" s="12"/>
      <c r="D173" s="2"/>
      <c r="E173" s="80">
        <f>550.9+(2166.7*1.2)</f>
        <v>3150.9399999999996</v>
      </c>
      <c r="F173" s="69">
        <f>1288.22+35.74</f>
        <v>1323.96</v>
      </c>
      <c r="G173" s="69">
        <f>674.29+63.83</f>
        <v>738.12</v>
      </c>
      <c r="H173" s="69"/>
      <c r="I173" s="69"/>
      <c r="J173" s="28">
        <v>226.61</v>
      </c>
      <c r="K173" s="21">
        <v>1416.66</v>
      </c>
      <c r="L173" s="27"/>
      <c r="M173" s="3"/>
      <c r="N173" s="3"/>
      <c r="O173" s="1"/>
      <c r="P173" s="21"/>
      <c r="Q173" s="29">
        <f t="shared" si="11"/>
        <v>6856.289999999999</v>
      </c>
    </row>
    <row r="174" spans="1:17" ht="12.75" hidden="1">
      <c r="A174" s="187">
        <v>15</v>
      </c>
      <c r="B174" s="277" t="s">
        <v>15</v>
      </c>
      <c r="C174" s="12"/>
      <c r="D174" s="2"/>
      <c r="E174" s="80">
        <f>514.5</f>
        <v>514.5</v>
      </c>
      <c r="F174" s="69">
        <f>362.67</f>
        <v>362.67</v>
      </c>
      <c r="G174" s="69">
        <f>139+139+63.83</f>
        <v>341.83</v>
      </c>
      <c r="H174" s="69"/>
      <c r="I174" s="69"/>
      <c r="J174" s="28"/>
      <c r="K174" s="21">
        <v>697.46</v>
      </c>
      <c r="L174" s="27"/>
      <c r="M174" s="3"/>
      <c r="N174" s="3"/>
      <c r="O174" s="1"/>
      <c r="P174" s="21"/>
      <c r="Q174" s="29">
        <f t="shared" si="11"/>
        <v>1916.46</v>
      </c>
    </row>
    <row r="175" spans="1:17" ht="12.75" hidden="1">
      <c r="A175" s="187">
        <v>16</v>
      </c>
      <c r="B175" s="277" t="s">
        <v>16</v>
      </c>
      <c r="C175" s="12"/>
      <c r="D175" s="2"/>
      <c r="E175" s="80">
        <f>266+367.5+33.6</f>
        <v>667.1</v>
      </c>
      <c r="F175" s="69">
        <f>1554.41</f>
        <v>1554.41</v>
      </c>
      <c r="G175" s="69">
        <f>63.83+149</f>
        <v>212.82999999999998</v>
      </c>
      <c r="H175" s="69"/>
      <c r="I175" s="69"/>
      <c r="J175" s="28"/>
      <c r="K175" s="21">
        <v>1085.57</v>
      </c>
      <c r="L175" s="27"/>
      <c r="M175" s="21">
        <f>3850</f>
        <v>3850</v>
      </c>
      <c r="N175" s="4"/>
      <c r="O175" s="1"/>
      <c r="P175" s="21"/>
      <c r="Q175" s="29">
        <f t="shared" si="11"/>
        <v>7369.91</v>
      </c>
    </row>
    <row r="176" spans="1:17" ht="12.75" hidden="1">
      <c r="A176" s="187">
        <v>17</v>
      </c>
      <c r="B176" s="277" t="s">
        <v>17</v>
      </c>
      <c r="C176" s="12"/>
      <c r="D176" s="2"/>
      <c r="E176" s="80">
        <f>517.3+(4333.4*1.2)</f>
        <v>5717.379999999999</v>
      </c>
      <c r="F176" s="69">
        <f>531.98</f>
        <v>531.98</v>
      </c>
      <c r="G176" s="69">
        <f>674.29+63.83</f>
        <v>738.12</v>
      </c>
      <c r="H176" s="69"/>
      <c r="I176" s="69"/>
      <c r="J176" s="28"/>
      <c r="K176" s="21">
        <v>1346.1</v>
      </c>
      <c r="L176" s="27"/>
      <c r="M176" s="21"/>
      <c r="N176" s="21"/>
      <c r="O176" s="1"/>
      <c r="P176" s="21"/>
      <c r="Q176" s="29">
        <f t="shared" si="11"/>
        <v>8333.579999999998</v>
      </c>
    </row>
    <row r="177" spans="1:17" ht="12.75" hidden="1">
      <c r="A177" s="187">
        <v>18</v>
      </c>
      <c r="B177" s="277" t="s">
        <v>18</v>
      </c>
      <c r="C177" s="12"/>
      <c r="D177" s="2"/>
      <c r="E177" s="80">
        <f>634.2</f>
        <v>634.2</v>
      </c>
      <c r="F177" s="69">
        <f>287.84</f>
        <v>287.84</v>
      </c>
      <c r="G177" s="69">
        <f>67.15+182</f>
        <v>249.15</v>
      </c>
      <c r="H177" s="69"/>
      <c r="I177" s="69"/>
      <c r="J177" s="28"/>
      <c r="K177" s="21">
        <v>1647.35</v>
      </c>
      <c r="L177" s="26"/>
      <c r="M177" s="21"/>
      <c r="N177" s="21"/>
      <c r="O177" s="1"/>
      <c r="P177" s="21"/>
      <c r="Q177" s="29">
        <f t="shared" si="11"/>
        <v>2818.54</v>
      </c>
    </row>
    <row r="178" spans="1:17" ht="12.75" hidden="1">
      <c r="A178" s="187">
        <v>19</v>
      </c>
      <c r="B178" s="277" t="s">
        <v>19</v>
      </c>
      <c r="C178" s="12"/>
      <c r="D178" s="2"/>
      <c r="E178" s="80">
        <f>420</f>
        <v>420</v>
      </c>
      <c r="F178" s="69">
        <f>1120.12</f>
        <v>1120.12</v>
      </c>
      <c r="G178" s="69">
        <f>63.83</f>
        <v>63.83</v>
      </c>
      <c r="H178" s="69"/>
      <c r="I178" s="69"/>
      <c r="J178" s="28"/>
      <c r="K178" s="21">
        <v>670.33</v>
      </c>
      <c r="L178" s="27"/>
      <c r="M178" s="21"/>
      <c r="N178" s="21"/>
      <c r="O178" s="1"/>
      <c r="P178" s="87"/>
      <c r="Q178" s="29">
        <f t="shared" si="11"/>
        <v>2274.2799999999997</v>
      </c>
    </row>
    <row r="179" spans="1:17" ht="12.75" hidden="1">
      <c r="A179" s="187">
        <v>20</v>
      </c>
      <c r="B179" s="277" t="s">
        <v>20</v>
      </c>
      <c r="C179" s="46"/>
      <c r="D179" s="7"/>
      <c r="E179" s="80">
        <v>464.8</v>
      </c>
      <c r="F179" s="69">
        <f>206.44</f>
        <v>206.44</v>
      </c>
      <c r="G179" s="69"/>
      <c r="H179" s="69"/>
      <c r="I179" s="70"/>
      <c r="J179" s="28"/>
      <c r="K179" s="21">
        <v>721.9</v>
      </c>
      <c r="L179" s="27"/>
      <c r="M179" s="21"/>
      <c r="N179" s="21"/>
      <c r="O179" s="1"/>
      <c r="P179" s="1"/>
      <c r="Q179" s="29">
        <f aca="true" t="shared" si="12" ref="Q179:Q190">SUM(E179:P179)</f>
        <v>1393.1399999999999</v>
      </c>
    </row>
    <row r="180" spans="1:17" ht="12.75" hidden="1">
      <c r="A180" s="187">
        <v>21</v>
      </c>
      <c r="B180" s="277" t="s">
        <v>21</v>
      </c>
      <c r="C180" s="46"/>
      <c r="D180" s="6"/>
      <c r="E180" s="80">
        <f>514.5</f>
        <v>514.5</v>
      </c>
      <c r="F180" s="69">
        <f>404.33</f>
        <v>404.33</v>
      </c>
      <c r="G180" s="69">
        <f>120+120+63.83</f>
        <v>303.83</v>
      </c>
      <c r="H180" s="69"/>
      <c r="I180" s="69"/>
      <c r="J180" s="21">
        <v>161.25</v>
      </c>
      <c r="K180" s="21">
        <v>2030</v>
      </c>
      <c r="L180" s="27"/>
      <c r="M180" s="3"/>
      <c r="N180" s="3"/>
      <c r="O180" s="1"/>
      <c r="P180" s="1"/>
      <c r="Q180" s="29">
        <f t="shared" si="12"/>
        <v>3413.91</v>
      </c>
    </row>
    <row r="181" spans="1:17" ht="12.75" hidden="1">
      <c r="A181" s="187">
        <v>22</v>
      </c>
      <c r="B181" s="277" t="s">
        <v>22</v>
      </c>
      <c r="C181" s="46"/>
      <c r="D181" s="6"/>
      <c r="E181" s="80">
        <f>1619.5+133+220.5+252</f>
        <v>2225</v>
      </c>
      <c r="F181" s="69">
        <v>979.22</v>
      </c>
      <c r="G181" s="69">
        <f>63.83+149+149</f>
        <v>361.83</v>
      </c>
      <c r="H181" s="69"/>
      <c r="I181" s="69"/>
      <c r="J181" s="3"/>
      <c r="K181" s="21">
        <v>998.72</v>
      </c>
      <c r="L181" s="27"/>
      <c r="M181" s="3"/>
      <c r="N181" s="3"/>
      <c r="O181" s="1"/>
      <c r="P181" s="1"/>
      <c r="Q181" s="29">
        <f t="shared" si="12"/>
        <v>4564.77</v>
      </c>
    </row>
    <row r="182" spans="1:17" ht="12.75" hidden="1">
      <c r="A182" s="187">
        <v>23</v>
      </c>
      <c r="B182" s="277" t="s">
        <v>23</v>
      </c>
      <c r="C182" s="46"/>
      <c r="D182" s="6"/>
      <c r="E182" s="80">
        <f>493.5</f>
        <v>493.5</v>
      </c>
      <c r="F182" s="69">
        <f>473.98+83.42</f>
        <v>557.4</v>
      </c>
      <c r="G182" s="69">
        <f>76.85+149</f>
        <v>225.85</v>
      </c>
      <c r="H182" s="69"/>
      <c r="I182" s="72"/>
      <c r="J182" s="3"/>
      <c r="K182" s="21">
        <v>678.48</v>
      </c>
      <c r="L182" s="27"/>
      <c r="M182" s="3"/>
      <c r="N182" s="3"/>
      <c r="O182" s="1"/>
      <c r="P182" s="1"/>
      <c r="Q182" s="29">
        <f t="shared" si="12"/>
        <v>1955.23</v>
      </c>
    </row>
    <row r="183" spans="1:17" ht="12.75" hidden="1">
      <c r="A183" s="187">
        <v>24</v>
      </c>
      <c r="B183" s="277" t="s">
        <v>24</v>
      </c>
      <c r="C183" s="46"/>
      <c r="D183" s="6"/>
      <c r="E183" s="81">
        <f>133+67.2</f>
        <v>200.2</v>
      </c>
      <c r="F183" s="69"/>
      <c r="G183" s="70"/>
      <c r="H183" s="70"/>
      <c r="I183" s="72"/>
      <c r="J183" s="3"/>
      <c r="K183" s="21">
        <v>29.86</v>
      </c>
      <c r="L183" s="3"/>
      <c r="M183" s="3"/>
      <c r="N183" s="3"/>
      <c r="O183" s="1"/>
      <c r="P183" s="1"/>
      <c r="Q183" s="29">
        <f t="shared" si="12"/>
        <v>230.06</v>
      </c>
    </row>
    <row r="184" spans="1:17" ht="12.75" hidden="1">
      <c r="A184" s="187">
        <v>25</v>
      </c>
      <c r="B184" s="277" t="s">
        <v>25</v>
      </c>
      <c r="C184" s="46"/>
      <c r="D184" s="6"/>
      <c r="E184" s="81"/>
      <c r="F184" s="69"/>
      <c r="G184" s="70"/>
      <c r="H184" s="70"/>
      <c r="I184" s="72"/>
      <c r="J184" s="3"/>
      <c r="K184" s="21">
        <v>108.55</v>
      </c>
      <c r="L184" s="3"/>
      <c r="M184" s="3"/>
      <c r="N184" s="3"/>
      <c r="O184" s="1"/>
      <c r="P184" s="1"/>
      <c r="Q184" s="29">
        <f t="shared" si="12"/>
        <v>108.55</v>
      </c>
    </row>
    <row r="185" spans="1:17" ht="12.75" hidden="1">
      <c r="A185" s="187">
        <v>26</v>
      </c>
      <c r="B185" s="277" t="s">
        <v>26</v>
      </c>
      <c r="C185" s="46"/>
      <c r="D185" s="6"/>
      <c r="E185" s="81">
        <f>200.9</f>
        <v>200.9</v>
      </c>
      <c r="F185" s="69"/>
      <c r="G185" s="70"/>
      <c r="H185" s="70"/>
      <c r="I185" s="72"/>
      <c r="J185" s="3"/>
      <c r="K185" s="21">
        <v>46.14</v>
      </c>
      <c r="L185" s="3"/>
      <c r="M185" s="3"/>
      <c r="N185" s="3"/>
      <c r="O185" s="1"/>
      <c r="P185" s="1"/>
      <c r="Q185" s="29">
        <f t="shared" si="12"/>
        <v>247.04000000000002</v>
      </c>
    </row>
    <row r="186" spans="1:17" ht="12.75" hidden="1">
      <c r="A186" s="187">
        <v>27</v>
      </c>
      <c r="B186" s="277" t="s">
        <v>27</v>
      </c>
      <c r="C186" s="46"/>
      <c r="D186" s="6"/>
      <c r="E186" s="81">
        <f>100.8</f>
        <v>100.8</v>
      </c>
      <c r="F186" s="69">
        <f>569.99</f>
        <v>569.99</v>
      </c>
      <c r="G186" s="70"/>
      <c r="H186" s="70"/>
      <c r="I186" s="72"/>
      <c r="J186" s="3"/>
      <c r="K186" s="21">
        <v>933.6</v>
      </c>
      <c r="L186" s="28"/>
      <c r="M186" s="3"/>
      <c r="N186" s="3"/>
      <c r="O186" s="1"/>
      <c r="P186" s="1"/>
      <c r="Q186" s="29">
        <f t="shared" si="12"/>
        <v>1604.3899999999999</v>
      </c>
    </row>
    <row r="187" spans="1:17" ht="12.75" hidden="1">
      <c r="A187" s="187">
        <v>28</v>
      </c>
      <c r="B187" s="277" t="s">
        <v>28</v>
      </c>
      <c r="C187" s="46"/>
      <c r="D187" s="6"/>
      <c r="E187" s="81">
        <v>199.5</v>
      </c>
      <c r="F187" s="69"/>
      <c r="G187" s="70"/>
      <c r="H187" s="70"/>
      <c r="I187" s="72"/>
      <c r="J187" s="3"/>
      <c r="K187" s="21">
        <v>40.7</v>
      </c>
      <c r="L187" s="3"/>
      <c r="M187" s="3"/>
      <c r="N187" s="3"/>
      <c r="O187" s="1"/>
      <c r="P187" s="1"/>
      <c r="Q187" s="29">
        <f t="shared" si="12"/>
        <v>240.2</v>
      </c>
    </row>
    <row r="188" spans="1:17" ht="12.75" hidden="1">
      <c r="A188" s="187">
        <v>29</v>
      </c>
      <c r="B188" s="277" t="s">
        <v>29</v>
      </c>
      <c r="C188" s="46"/>
      <c r="D188" s="6"/>
      <c r="E188" s="81">
        <v>200.2</v>
      </c>
      <c r="F188" s="69"/>
      <c r="G188" s="70"/>
      <c r="H188" s="70"/>
      <c r="I188" s="74"/>
      <c r="J188" s="3"/>
      <c r="K188" s="21">
        <v>65.15</v>
      </c>
      <c r="L188" s="3"/>
      <c r="M188" s="3"/>
      <c r="N188" s="3"/>
      <c r="O188" s="1"/>
      <c r="P188" s="1"/>
      <c r="Q188" s="29">
        <f t="shared" si="12"/>
        <v>265.35</v>
      </c>
    </row>
    <row r="189" spans="1:17" ht="12.75" hidden="1">
      <c r="A189" s="187">
        <v>30</v>
      </c>
      <c r="B189" s="277" t="s">
        <v>37</v>
      </c>
      <c r="C189" s="46"/>
      <c r="D189" s="6"/>
      <c r="E189" s="70"/>
      <c r="F189" s="69"/>
      <c r="G189" s="69">
        <f>63.83</f>
        <v>63.83</v>
      </c>
      <c r="H189" s="69"/>
      <c r="I189" s="75"/>
      <c r="J189" s="3"/>
      <c r="K189" s="21"/>
      <c r="L189" s="33"/>
      <c r="M189" s="3"/>
      <c r="N189" s="3"/>
      <c r="O189" s="1"/>
      <c r="P189" s="1"/>
      <c r="Q189" s="29">
        <f t="shared" si="12"/>
        <v>63.83</v>
      </c>
    </row>
    <row r="190" spans="1:17" ht="13.5" hidden="1" thickBot="1">
      <c r="A190" s="187">
        <v>31</v>
      </c>
      <c r="B190" s="278" t="s">
        <v>36</v>
      </c>
      <c r="C190" s="60"/>
      <c r="D190" s="40"/>
      <c r="E190" s="76"/>
      <c r="F190" s="76">
        <f>430.29+392.93</f>
        <v>823.22</v>
      </c>
      <c r="G190" s="76">
        <f>832.4-198.18</f>
        <v>634.22</v>
      </c>
      <c r="H190" s="76"/>
      <c r="I190" s="76"/>
      <c r="J190" s="42"/>
      <c r="K190" s="43"/>
      <c r="L190" s="44"/>
      <c r="M190" s="42"/>
      <c r="N190" s="42"/>
      <c r="O190" s="45"/>
      <c r="P190" s="188"/>
      <c r="Q190" s="29">
        <f t="shared" si="12"/>
        <v>1457.44</v>
      </c>
    </row>
    <row r="191" spans="2:17" ht="13.5" hidden="1" thickBot="1">
      <c r="B191" s="48" t="s">
        <v>12</v>
      </c>
      <c r="C191" s="89">
        <f>SUM(C179:C190)</f>
        <v>0</v>
      </c>
      <c r="D191" s="89">
        <f>SUM(D179:D190)</f>
        <v>0</v>
      </c>
      <c r="E191" s="95">
        <f>SUM(E160:E189)+E190</f>
        <v>144382.66</v>
      </c>
      <c r="F191" s="135">
        <f>SUM(F160:F190)</f>
        <v>42340.62</v>
      </c>
      <c r="G191" s="135">
        <f>SUM(G160:G190)</f>
        <v>22159.360000000015</v>
      </c>
      <c r="H191" s="135">
        <f>SUM(H160:H189)</f>
        <v>326.36</v>
      </c>
      <c r="I191" s="135">
        <f>SUM(I160:I189)+I190</f>
        <v>100000</v>
      </c>
      <c r="J191" s="135">
        <f aca="true" t="shared" si="13" ref="J191:P191">SUM(J160:J189)</f>
        <v>7433.09</v>
      </c>
      <c r="K191" s="135">
        <f t="shared" si="13"/>
        <v>48033.450000000004</v>
      </c>
      <c r="L191" s="135">
        <f t="shared" si="13"/>
        <v>0</v>
      </c>
      <c r="M191" s="142">
        <f t="shared" si="13"/>
        <v>101200</v>
      </c>
      <c r="N191" s="142">
        <f t="shared" si="13"/>
        <v>0.23</v>
      </c>
      <c r="O191" s="96">
        <f t="shared" si="13"/>
        <v>0</v>
      </c>
      <c r="P191" s="96">
        <f t="shared" si="13"/>
        <v>2520</v>
      </c>
      <c r="Q191" s="19">
        <f>SUM(Q160:Q189)+Q190</f>
        <v>468395.76999999996</v>
      </c>
    </row>
    <row r="192" spans="2:17" ht="13.5" hidden="1" thickBot="1">
      <c r="B192" s="61"/>
      <c r="C192" s="162">
        <v>2110</v>
      </c>
      <c r="D192" s="162">
        <v>2111</v>
      </c>
      <c r="E192" s="159">
        <v>2210</v>
      </c>
      <c r="F192" s="240">
        <v>2230</v>
      </c>
      <c r="G192" s="240">
        <v>2240</v>
      </c>
      <c r="H192" s="240">
        <v>2250</v>
      </c>
      <c r="I192" s="240">
        <v>2271</v>
      </c>
      <c r="J192" s="241">
        <v>2272</v>
      </c>
      <c r="K192" s="241">
        <v>2273</v>
      </c>
      <c r="L192" s="240">
        <v>2274</v>
      </c>
      <c r="M192" s="240">
        <v>2275</v>
      </c>
      <c r="N192" s="240">
        <v>2800</v>
      </c>
      <c r="O192" s="93">
        <v>2730</v>
      </c>
      <c r="P192" s="11">
        <v>2282</v>
      </c>
      <c r="Q192" s="19">
        <f>E191+F191+G191+J191+K191+L191+M191+O191+P191+N191+I191</f>
        <v>468069.41</v>
      </c>
    </row>
    <row r="193" spans="2:17" ht="15" customHeight="1" hidden="1" thickBot="1">
      <c r="B193" s="51" t="s">
        <v>35</v>
      </c>
      <c r="C193" s="264"/>
      <c r="D193" s="264"/>
      <c r="E193" s="98">
        <f>54652.2+18619.72</f>
        <v>73271.92</v>
      </c>
      <c r="F193" s="185">
        <f>29054+13286.62</f>
        <v>42340.62</v>
      </c>
      <c r="G193" s="185">
        <f>10677.74+11481.62</f>
        <v>22159.36</v>
      </c>
      <c r="H193" s="185">
        <v>326.36</v>
      </c>
      <c r="I193" s="185">
        <v>100000</v>
      </c>
      <c r="J193" s="194">
        <f>7433.09</f>
        <v>7433.09</v>
      </c>
      <c r="K193" s="194">
        <f>36238.8+11794.65</f>
        <v>48033.450000000004</v>
      </c>
      <c r="L193" s="185">
        <f>36235.01+8870.02-4281</f>
        <v>40824.03</v>
      </c>
      <c r="M193" s="185">
        <f>101200</f>
        <v>101200</v>
      </c>
      <c r="N193" s="185">
        <v>0.23</v>
      </c>
      <c r="O193" s="237"/>
      <c r="P193" s="160">
        <f>2520</f>
        <v>2520</v>
      </c>
      <c r="Q193" s="179">
        <f>E193+F193+G193+I193+J193+K193+L193+M193+O193+P193+N193+H193</f>
        <v>438109.05999999994</v>
      </c>
    </row>
    <row r="194" spans="2:17" ht="15.75" customHeight="1" hidden="1">
      <c r="B194" s="249" t="s">
        <v>12</v>
      </c>
      <c r="C194" s="51"/>
      <c r="D194" s="51"/>
      <c r="E194" s="262">
        <f aca="true" t="shared" si="14" ref="E194:P194">SUM(E193)</f>
        <v>73271.92</v>
      </c>
      <c r="F194" s="294">
        <f t="shared" si="14"/>
        <v>42340.62</v>
      </c>
      <c r="G194" s="294">
        <f t="shared" si="14"/>
        <v>22159.36</v>
      </c>
      <c r="H194" s="294">
        <f t="shared" si="14"/>
        <v>326.36</v>
      </c>
      <c r="I194" s="294">
        <f t="shared" si="14"/>
        <v>100000</v>
      </c>
      <c r="J194" s="294">
        <f t="shared" si="14"/>
        <v>7433.09</v>
      </c>
      <c r="K194" s="294">
        <f t="shared" si="14"/>
        <v>48033.450000000004</v>
      </c>
      <c r="L194" s="294">
        <f t="shared" si="14"/>
        <v>40824.03</v>
      </c>
      <c r="M194" s="294">
        <f t="shared" si="14"/>
        <v>101200</v>
      </c>
      <c r="N194" s="294">
        <f t="shared" si="14"/>
        <v>0.23</v>
      </c>
      <c r="O194" s="262">
        <f t="shared" si="14"/>
        <v>0</v>
      </c>
      <c r="P194" s="262">
        <f t="shared" si="14"/>
        <v>2520</v>
      </c>
      <c r="Q194" s="262">
        <f>SUM(E194:P194)</f>
        <v>438109.05999999994</v>
      </c>
    </row>
    <row r="195" spans="2:17" ht="15.75" hidden="1">
      <c r="B195" s="52"/>
      <c r="C195" s="52"/>
      <c r="D195" s="52"/>
      <c r="E195" s="52"/>
      <c r="F195" s="316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2:17" ht="15.75" hidden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2:17" ht="15.75" hidden="1" thickBot="1">
      <c r="B197" s="361" t="s">
        <v>43</v>
      </c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</row>
    <row r="198" spans="2:17" ht="13.5" hidden="1" thickBot="1">
      <c r="B198" s="13" t="s">
        <v>31</v>
      </c>
      <c r="C198" s="162">
        <v>2110</v>
      </c>
      <c r="D198" s="162">
        <v>2111</v>
      </c>
      <c r="E198" s="159">
        <v>2210</v>
      </c>
      <c r="F198" s="92">
        <v>2230</v>
      </c>
      <c r="G198" s="92">
        <v>2240</v>
      </c>
      <c r="H198" s="92">
        <v>2250</v>
      </c>
      <c r="I198" s="92">
        <v>2271</v>
      </c>
      <c r="J198" s="11">
        <v>2272</v>
      </c>
      <c r="K198" s="11">
        <v>2273</v>
      </c>
      <c r="L198" s="93">
        <v>2274</v>
      </c>
      <c r="M198" s="93">
        <v>2275</v>
      </c>
      <c r="N198" s="93">
        <v>2800</v>
      </c>
      <c r="O198" s="93">
        <v>2730</v>
      </c>
      <c r="P198" s="241">
        <v>2282</v>
      </c>
      <c r="Q198" s="173" t="s">
        <v>30</v>
      </c>
    </row>
    <row r="199" spans="1:17" ht="12.75" hidden="1">
      <c r="A199" s="186">
        <v>1</v>
      </c>
      <c r="B199" s="276" t="s">
        <v>0</v>
      </c>
      <c r="C199" s="35"/>
      <c r="D199" s="36"/>
      <c r="E199" s="79">
        <f>(3466.72*1.2)</f>
        <v>4160.063999999999</v>
      </c>
      <c r="F199" s="66"/>
      <c r="G199" s="66">
        <f>526.08+63.83+85+2130</f>
        <v>2804.91</v>
      </c>
      <c r="H199" s="71"/>
      <c r="I199" s="69"/>
      <c r="J199" s="37"/>
      <c r="K199" s="20">
        <f>70*2.713908</f>
        <v>189.97356</v>
      </c>
      <c r="L199" s="37"/>
      <c r="M199" s="38"/>
      <c r="N199" s="38"/>
      <c r="O199" s="39"/>
      <c r="P199" s="39"/>
      <c r="Q199" s="23">
        <f aca="true" t="shared" si="15" ref="Q199:Q205">SUM(E199:P199)</f>
        <v>7154.94756</v>
      </c>
    </row>
    <row r="200" spans="1:17" ht="12.75" hidden="1">
      <c r="A200" s="186">
        <v>2</v>
      </c>
      <c r="B200" s="277" t="s">
        <v>1</v>
      </c>
      <c r="C200" s="12"/>
      <c r="D200" s="2"/>
      <c r="E200" s="80">
        <f>20166.7*1.2</f>
        <v>24200.04</v>
      </c>
      <c r="F200" s="69"/>
      <c r="G200" s="71">
        <f>63.83</f>
        <v>63.83</v>
      </c>
      <c r="H200" s="71"/>
      <c r="I200" s="70"/>
      <c r="J200" s="3"/>
      <c r="K200" s="21">
        <f>157*2.713908</f>
        <v>426.083556</v>
      </c>
      <c r="L200" s="21">
        <v>21.68</v>
      </c>
      <c r="M200" s="4"/>
      <c r="N200" s="4"/>
      <c r="O200" s="1"/>
      <c r="P200" s="1"/>
      <c r="Q200" s="29">
        <f t="shared" si="15"/>
        <v>24711.633556000004</v>
      </c>
    </row>
    <row r="201" spans="1:17" ht="12.75" hidden="1">
      <c r="A201" s="186">
        <v>3</v>
      </c>
      <c r="B201" s="277" t="s">
        <v>2</v>
      </c>
      <c r="C201" s="12"/>
      <c r="D201" s="2"/>
      <c r="E201" s="80">
        <f>2071.2+2783.2+854+1150.99+3025+744+(1300.02*1.2)+(1733.19*1.2)</f>
        <v>14268.241999999998</v>
      </c>
      <c r="F201" s="69"/>
      <c r="G201" s="71">
        <f>3232.57+63.83+68.75</f>
        <v>3365.15</v>
      </c>
      <c r="H201" s="71">
        <f>422.5+1084.52</f>
        <v>1507.02</v>
      </c>
      <c r="I201" s="69"/>
      <c r="J201" s="3"/>
      <c r="K201" s="21">
        <f>755*2.713908</f>
        <v>2049.00054</v>
      </c>
      <c r="L201" s="26"/>
      <c r="M201" s="4"/>
      <c r="N201" s="4"/>
      <c r="O201" s="1"/>
      <c r="P201" s="87"/>
      <c r="Q201" s="29">
        <f t="shared" si="15"/>
        <v>21189.41254</v>
      </c>
    </row>
    <row r="202" spans="1:17" ht="12.75" hidden="1">
      <c r="A202" s="186">
        <v>4</v>
      </c>
      <c r="B202" s="277" t="s">
        <v>3</v>
      </c>
      <c r="C202" s="12"/>
      <c r="D202" s="2"/>
      <c r="E202" s="80"/>
      <c r="F202" s="69"/>
      <c r="G202" s="71">
        <f>149+63.83</f>
        <v>212.82999999999998</v>
      </c>
      <c r="H202" s="71"/>
      <c r="I202" s="70"/>
      <c r="J202" s="3"/>
      <c r="K202" s="21">
        <f>301*2.713908</f>
        <v>816.886308</v>
      </c>
      <c r="L202" s="26"/>
      <c r="M202" s="4"/>
      <c r="N202" s="4"/>
      <c r="O202" s="1"/>
      <c r="P202" s="87"/>
      <c r="Q202" s="29">
        <f t="shared" si="15"/>
        <v>1029.716308</v>
      </c>
    </row>
    <row r="203" spans="1:17" ht="12.75" hidden="1">
      <c r="A203" s="186">
        <v>5</v>
      </c>
      <c r="B203" s="277" t="s">
        <v>4</v>
      </c>
      <c r="C203" s="12"/>
      <c r="D203" s="2"/>
      <c r="E203" s="80"/>
      <c r="F203" s="69"/>
      <c r="G203" s="71">
        <f>63.83</f>
        <v>63.83</v>
      </c>
      <c r="H203" s="71"/>
      <c r="I203" s="69"/>
      <c r="J203" s="3"/>
      <c r="K203" s="21">
        <f>121*2.713908</f>
        <v>328.382868</v>
      </c>
      <c r="L203" s="26"/>
      <c r="M203" s="4"/>
      <c r="N203" s="4"/>
      <c r="O203" s="1"/>
      <c r="P203" s="87"/>
      <c r="Q203" s="29">
        <f t="shared" si="15"/>
        <v>392.21286799999996</v>
      </c>
    </row>
    <row r="204" spans="1:17" ht="12.75" hidden="1">
      <c r="A204" s="186">
        <v>6</v>
      </c>
      <c r="B204" s="277" t="s">
        <v>5</v>
      </c>
      <c r="C204" s="12"/>
      <c r="D204" s="2"/>
      <c r="E204" s="80">
        <f>49.92+49.92+(2600.04+3033.38)*1.2</f>
        <v>6859.944</v>
      </c>
      <c r="F204" s="69"/>
      <c r="G204" s="69">
        <f>308.03+459.89</f>
        <v>767.92</v>
      </c>
      <c r="H204" s="69"/>
      <c r="I204" s="69"/>
      <c r="J204" s="21">
        <f>972.97+1686.96</f>
        <v>2659.9300000000003</v>
      </c>
      <c r="K204" s="21">
        <f>3012*2.713908</f>
        <v>8174.2908959999995</v>
      </c>
      <c r="L204" s="26"/>
      <c r="M204" s="4"/>
      <c r="N204" s="21"/>
      <c r="O204" s="1"/>
      <c r="P204" s="87"/>
      <c r="Q204" s="29">
        <f t="shared" si="15"/>
        <v>18462.084896</v>
      </c>
    </row>
    <row r="205" spans="1:17" ht="12.75" hidden="1">
      <c r="A205" s="186">
        <v>7</v>
      </c>
      <c r="B205" s="277" t="s">
        <v>6</v>
      </c>
      <c r="C205" s="12"/>
      <c r="D205" s="2"/>
      <c r="E205" s="80"/>
      <c r="F205" s="69"/>
      <c r="G205" s="71">
        <f>53.7</f>
        <v>53.7</v>
      </c>
      <c r="H205" s="71"/>
      <c r="I205" s="69"/>
      <c r="J205" s="28">
        <f>875.05</f>
        <v>875.05</v>
      </c>
      <c r="K205" s="21">
        <f>400*2.713908</f>
        <v>1085.5632</v>
      </c>
      <c r="L205" s="27"/>
      <c r="M205" s="21"/>
      <c r="N205" s="4"/>
      <c r="O205" s="1"/>
      <c r="P205" s="87"/>
      <c r="Q205" s="29">
        <f t="shared" si="15"/>
        <v>2014.3132</v>
      </c>
    </row>
    <row r="206" spans="1:17" ht="12.75" hidden="1">
      <c r="A206" s="186">
        <v>8</v>
      </c>
      <c r="B206" s="277" t="s">
        <v>7</v>
      </c>
      <c r="C206" s="12"/>
      <c r="D206" s="2"/>
      <c r="E206" s="80">
        <f>5360+4640</f>
        <v>10000</v>
      </c>
      <c r="F206" s="69"/>
      <c r="G206" s="71">
        <f>229+73.52</f>
        <v>302.52</v>
      </c>
      <c r="H206" s="71"/>
      <c r="I206" s="69"/>
      <c r="J206" s="21">
        <v>442.9</v>
      </c>
      <c r="K206" s="21">
        <f>251*2.713908</f>
        <v>681.190908</v>
      </c>
      <c r="L206" s="27"/>
      <c r="M206" s="28"/>
      <c r="N206" s="3"/>
      <c r="O206" s="1"/>
      <c r="P206" s="87"/>
      <c r="Q206" s="29">
        <f aca="true" t="shared" si="16" ref="Q206:Q229">SUM(E206:P206)</f>
        <v>11426.610908</v>
      </c>
    </row>
    <row r="207" spans="1:17" ht="12.75" hidden="1">
      <c r="A207" s="186">
        <v>9</v>
      </c>
      <c r="B207" s="277" t="s">
        <v>8</v>
      </c>
      <c r="C207" s="12"/>
      <c r="D207" s="2"/>
      <c r="E207" s="81"/>
      <c r="F207" s="69"/>
      <c r="G207" s="71">
        <f>63.83+63.83+186.97</f>
        <v>314.63</v>
      </c>
      <c r="H207" s="71"/>
      <c r="I207" s="69"/>
      <c r="J207" s="21"/>
      <c r="K207" s="21">
        <f>286*2.713908</f>
        <v>776.177688</v>
      </c>
      <c r="L207" s="27"/>
      <c r="M207" s="21"/>
      <c r="N207" s="4"/>
      <c r="O207" s="1"/>
      <c r="P207" s="87"/>
      <c r="Q207" s="29">
        <f t="shared" si="16"/>
        <v>1090.8076879999999</v>
      </c>
    </row>
    <row r="208" spans="1:17" ht="12.75" hidden="1">
      <c r="A208" s="186">
        <v>10</v>
      </c>
      <c r="B208" s="277" t="s">
        <v>9</v>
      </c>
      <c r="C208" s="12"/>
      <c r="D208" s="2"/>
      <c r="E208" s="81">
        <f>3033.38*1.2</f>
        <v>3640.056</v>
      </c>
      <c r="F208" s="69"/>
      <c r="G208" s="71">
        <f>63.83</f>
        <v>63.83</v>
      </c>
      <c r="H208" s="71"/>
      <c r="I208" s="69"/>
      <c r="J208" s="28"/>
      <c r="K208" s="21">
        <f>(233+55)*2.713908</f>
        <v>781.605504</v>
      </c>
      <c r="L208" s="27"/>
      <c r="M208" s="21"/>
      <c r="N208" s="4"/>
      <c r="O208" s="1"/>
      <c r="P208" s="87"/>
      <c r="Q208" s="29">
        <f t="shared" si="16"/>
        <v>4485.491504</v>
      </c>
    </row>
    <row r="209" spans="1:17" ht="12.75" hidden="1">
      <c r="A209" s="186">
        <v>11</v>
      </c>
      <c r="B209" s="277" t="s">
        <v>10</v>
      </c>
      <c r="C209" s="12"/>
      <c r="D209" s="2"/>
      <c r="E209" s="81"/>
      <c r="F209" s="69"/>
      <c r="G209" s="71">
        <f>66.47</f>
        <v>66.47</v>
      </c>
      <c r="H209" s="71"/>
      <c r="I209" s="69"/>
      <c r="J209" s="21">
        <f>771.64</f>
        <v>771.64</v>
      </c>
      <c r="K209" s="21">
        <f>1*2.713908</f>
        <v>2.713908</v>
      </c>
      <c r="L209" s="27"/>
      <c r="M209" s="21">
        <f>5000</f>
        <v>5000</v>
      </c>
      <c r="N209" s="3"/>
      <c r="O209" s="1"/>
      <c r="P209" s="87"/>
      <c r="Q209" s="29">
        <f t="shared" si="16"/>
        <v>5840.823908</v>
      </c>
    </row>
    <row r="210" spans="1:17" ht="12.75" hidden="1">
      <c r="A210" s="186">
        <v>12</v>
      </c>
      <c r="B210" s="277" t="s">
        <v>11</v>
      </c>
      <c r="C210" s="12"/>
      <c r="D210" s="2"/>
      <c r="E210" s="81">
        <f>1010+29952+(866.68*1.2)+(457.5*1.2)</f>
        <v>32551.016</v>
      </c>
      <c r="F210" s="69"/>
      <c r="G210" s="71">
        <f>229+63.83</f>
        <v>292.83</v>
      </c>
      <c r="H210" s="71">
        <f>671</f>
        <v>671</v>
      </c>
      <c r="I210" s="69"/>
      <c r="J210" s="21"/>
      <c r="K210" s="21">
        <f>1950*2.713908</f>
        <v>5292.1206</v>
      </c>
      <c r="L210" s="21"/>
      <c r="M210" s="21"/>
      <c r="N210" s="3"/>
      <c r="O210" s="1"/>
      <c r="P210" s="87"/>
      <c r="Q210" s="29">
        <f t="shared" si="16"/>
        <v>38806.9666</v>
      </c>
    </row>
    <row r="211" spans="1:17" ht="12.75" hidden="1">
      <c r="A211" s="186">
        <v>13</v>
      </c>
      <c r="B211" s="277" t="s">
        <v>33</v>
      </c>
      <c r="C211" s="12"/>
      <c r="D211" s="2"/>
      <c r="E211" s="81"/>
      <c r="F211" s="69"/>
      <c r="G211" s="71">
        <f>38.29</f>
        <v>38.29</v>
      </c>
      <c r="H211" s="71"/>
      <c r="I211" s="69"/>
      <c r="J211" s="21"/>
      <c r="K211" s="21">
        <f>405*2.713908</f>
        <v>1099.13274</v>
      </c>
      <c r="L211" s="21"/>
      <c r="M211" s="21"/>
      <c r="N211" s="3"/>
      <c r="O211" s="1"/>
      <c r="P211" s="87"/>
      <c r="Q211" s="29">
        <f t="shared" si="16"/>
        <v>1137.42274</v>
      </c>
    </row>
    <row r="212" spans="1:17" ht="12.75" hidden="1">
      <c r="A212" s="186">
        <v>14</v>
      </c>
      <c r="B212" s="277" t="s">
        <v>14</v>
      </c>
      <c r="C212" s="12"/>
      <c r="D212" s="2"/>
      <c r="E212" s="81">
        <f>1733.36*1.2</f>
        <v>2080.0319999999997</v>
      </c>
      <c r="F212" s="69"/>
      <c r="G212" s="71">
        <f>63.83</f>
        <v>63.83</v>
      </c>
      <c r="H212" s="71"/>
      <c r="I212" s="69"/>
      <c r="J212" s="21">
        <f>266.6</f>
        <v>266.6</v>
      </c>
      <c r="K212" s="21">
        <f>157*2.713908</f>
        <v>426.083556</v>
      </c>
      <c r="L212" s="28"/>
      <c r="M212" s="21"/>
      <c r="N212" s="3"/>
      <c r="O212" s="1"/>
      <c r="P212" s="1"/>
      <c r="Q212" s="29">
        <f t="shared" si="16"/>
        <v>2836.5455559999996</v>
      </c>
    </row>
    <row r="213" spans="1:17" ht="12.75" hidden="1">
      <c r="A213" s="186">
        <v>15</v>
      </c>
      <c r="B213" s="277" t="s">
        <v>15</v>
      </c>
      <c r="C213" s="12"/>
      <c r="D213" s="2"/>
      <c r="E213" s="81"/>
      <c r="F213" s="69"/>
      <c r="G213" s="71">
        <f>63.83</f>
        <v>63.83</v>
      </c>
      <c r="H213" s="71"/>
      <c r="I213" s="69"/>
      <c r="J213" s="28"/>
      <c r="K213" s="21">
        <f>(17+94)*2.713908</f>
        <v>301.243788</v>
      </c>
      <c r="L213" s="28"/>
      <c r="M213" s="21"/>
      <c r="N213" s="3"/>
      <c r="O213" s="1"/>
      <c r="P213" s="1"/>
      <c r="Q213" s="29">
        <f t="shared" si="16"/>
        <v>365.073788</v>
      </c>
    </row>
    <row r="214" spans="1:17" ht="12.75" hidden="1">
      <c r="A214" s="186">
        <v>16</v>
      </c>
      <c r="B214" s="277" t="s">
        <v>16</v>
      </c>
      <c r="C214" s="12"/>
      <c r="D214" s="2"/>
      <c r="E214" s="81">
        <f>3132.9</f>
        <v>3132.9</v>
      </c>
      <c r="F214" s="69"/>
      <c r="G214" s="71">
        <f>63.83</f>
        <v>63.83</v>
      </c>
      <c r="H214" s="71">
        <f>180+514</f>
        <v>694</v>
      </c>
      <c r="I214" s="69"/>
      <c r="J214" s="28"/>
      <c r="K214" s="21">
        <f>220*2.713908</f>
        <v>597.05976</v>
      </c>
      <c r="L214" s="28"/>
      <c r="M214" s="21"/>
      <c r="N214" s="4"/>
      <c r="O214" s="1"/>
      <c r="P214" s="1"/>
      <c r="Q214" s="29">
        <f t="shared" si="16"/>
        <v>4487.78976</v>
      </c>
    </row>
    <row r="215" spans="1:17" ht="12.75" hidden="1">
      <c r="A215" s="186">
        <v>17</v>
      </c>
      <c r="B215" s="277" t="s">
        <v>17</v>
      </c>
      <c r="C215" s="12"/>
      <c r="D215" s="2"/>
      <c r="E215" s="81">
        <f>3033.38*1.2</f>
        <v>3640.056</v>
      </c>
      <c r="F215" s="69"/>
      <c r="G215" s="71">
        <f>63.83</f>
        <v>63.83</v>
      </c>
      <c r="H215" s="71"/>
      <c r="I215" s="69"/>
      <c r="J215" s="28"/>
      <c r="K215" s="21">
        <f>448*2.71398</f>
        <v>1215.86304</v>
      </c>
      <c r="L215" s="28"/>
      <c r="M215" s="21">
        <f>51522</f>
        <v>51522</v>
      </c>
      <c r="N215" s="3"/>
      <c r="O215" s="1"/>
      <c r="P215" s="1"/>
      <c r="Q215" s="29">
        <f t="shared" si="16"/>
        <v>56441.74904</v>
      </c>
    </row>
    <row r="216" spans="1:17" ht="12.75" hidden="1">
      <c r="A216" s="186">
        <v>18</v>
      </c>
      <c r="B216" s="277" t="s">
        <v>18</v>
      </c>
      <c r="C216" s="12"/>
      <c r="D216" s="2"/>
      <c r="E216" s="81"/>
      <c r="F216" s="69"/>
      <c r="G216" s="71">
        <f>67.15+153.97</f>
        <v>221.12</v>
      </c>
      <c r="H216" s="71"/>
      <c r="I216" s="69"/>
      <c r="J216" s="28">
        <v>307.02</v>
      </c>
      <c r="K216" s="21">
        <f>157*2.713908</f>
        <v>426.083556</v>
      </c>
      <c r="L216" s="21"/>
      <c r="M216" s="21"/>
      <c r="N216" s="4"/>
      <c r="O216" s="1"/>
      <c r="P216" s="1"/>
      <c r="Q216" s="29">
        <f t="shared" si="16"/>
        <v>954.2235559999999</v>
      </c>
    </row>
    <row r="217" spans="1:17" ht="12.75" hidden="1">
      <c r="A217" s="186">
        <v>19</v>
      </c>
      <c r="B217" s="277" t="s">
        <v>19</v>
      </c>
      <c r="C217" s="12"/>
      <c r="D217" s="2"/>
      <c r="E217" s="81"/>
      <c r="F217" s="69"/>
      <c r="G217" s="71">
        <f>63.83</f>
        <v>63.83</v>
      </c>
      <c r="H217" s="71"/>
      <c r="I217" s="69"/>
      <c r="J217" s="28"/>
      <c r="K217" s="21">
        <f>(102+43)*2.713908</f>
        <v>393.51666</v>
      </c>
      <c r="L217" s="28"/>
      <c r="M217" s="28"/>
      <c r="N217" s="3"/>
      <c r="O217" s="1"/>
      <c r="P217" s="1"/>
      <c r="Q217" s="29">
        <f t="shared" si="16"/>
        <v>457.34666</v>
      </c>
    </row>
    <row r="218" spans="1:17" ht="12.75" hidden="1">
      <c r="A218" s="186">
        <v>20</v>
      </c>
      <c r="B218" s="277" t="s">
        <v>20</v>
      </c>
      <c r="C218" s="46"/>
      <c r="D218" s="7"/>
      <c r="E218" s="81"/>
      <c r="F218" s="69"/>
      <c r="G218" s="71"/>
      <c r="H218" s="71"/>
      <c r="I218" s="70"/>
      <c r="J218" s="3"/>
      <c r="K218" s="21">
        <f>195*2.713908</f>
        <v>529.21206</v>
      </c>
      <c r="L218" s="27"/>
      <c r="M218" s="28"/>
      <c r="N218" s="3"/>
      <c r="O218" s="1"/>
      <c r="P218" s="1"/>
      <c r="Q218" s="29">
        <f t="shared" si="16"/>
        <v>529.21206</v>
      </c>
    </row>
    <row r="219" spans="1:17" ht="12.75" hidden="1">
      <c r="A219" s="186">
        <v>21</v>
      </c>
      <c r="B219" s="277" t="s">
        <v>21</v>
      </c>
      <c r="C219" s="46"/>
      <c r="D219" s="6"/>
      <c r="E219" s="81"/>
      <c r="F219" s="69"/>
      <c r="G219" s="71">
        <f>120+63.83</f>
        <v>183.82999999999998</v>
      </c>
      <c r="H219" s="71"/>
      <c r="I219" s="69"/>
      <c r="J219" s="21"/>
      <c r="K219" s="21">
        <f>529*2.713908</f>
        <v>1435.657332</v>
      </c>
      <c r="L219" s="27"/>
      <c r="M219" s="21">
        <f>7033+44874</f>
        <v>51907</v>
      </c>
      <c r="N219" s="3"/>
      <c r="O219" s="1"/>
      <c r="P219" s="1"/>
      <c r="Q219" s="29">
        <f t="shared" si="16"/>
        <v>53526.487332</v>
      </c>
    </row>
    <row r="220" spans="1:17" ht="12.75" hidden="1">
      <c r="A220" s="186">
        <v>22</v>
      </c>
      <c r="B220" s="277" t="s">
        <v>22</v>
      </c>
      <c r="C220" s="46"/>
      <c r="D220" s="6"/>
      <c r="E220" s="81"/>
      <c r="F220" s="69"/>
      <c r="G220" s="71">
        <f>149+63.83</f>
        <v>212.82999999999998</v>
      </c>
      <c r="H220" s="71">
        <f>460+670.84</f>
        <v>1130.8400000000001</v>
      </c>
      <c r="I220" s="69"/>
      <c r="J220" s="3"/>
      <c r="K220" s="21">
        <f>164*2.713908</f>
        <v>445.080912</v>
      </c>
      <c r="L220" s="27"/>
      <c r="M220" s="28"/>
      <c r="N220" s="3"/>
      <c r="O220" s="1"/>
      <c r="P220" s="1"/>
      <c r="Q220" s="29">
        <f t="shared" si="16"/>
        <v>1788.750912</v>
      </c>
    </row>
    <row r="221" spans="1:17" ht="12.75" hidden="1">
      <c r="A221" s="186">
        <v>23</v>
      </c>
      <c r="B221" s="277" t="s">
        <v>23</v>
      </c>
      <c r="C221" s="46"/>
      <c r="D221" s="6"/>
      <c r="E221" s="81"/>
      <c r="F221" s="69"/>
      <c r="G221" s="71">
        <f>76.85+153.97</f>
        <v>230.82</v>
      </c>
      <c r="H221" s="71"/>
      <c r="I221" s="70"/>
      <c r="J221" s="28"/>
      <c r="K221" s="21">
        <f>150*2.713908</f>
        <v>407.0862</v>
      </c>
      <c r="L221" s="27"/>
      <c r="M221" s="28"/>
      <c r="N221" s="3"/>
      <c r="O221" s="1"/>
      <c r="P221" s="1"/>
      <c r="Q221" s="29">
        <f t="shared" si="16"/>
        <v>637.9062</v>
      </c>
    </row>
    <row r="222" spans="1:17" ht="12.75" hidden="1">
      <c r="A222" s="186">
        <v>24</v>
      </c>
      <c r="B222" s="277" t="s">
        <v>24</v>
      </c>
      <c r="C222" s="46"/>
      <c r="D222" s="6"/>
      <c r="E222" s="81">
        <f>1920</f>
        <v>1920</v>
      </c>
      <c r="F222" s="69"/>
      <c r="G222" s="70"/>
      <c r="H222" s="70"/>
      <c r="I222" s="2"/>
      <c r="J222" s="3"/>
      <c r="K222" s="21">
        <f>1*2.713908</f>
        <v>2.713908</v>
      </c>
      <c r="L222" s="3"/>
      <c r="M222" s="28"/>
      <c r="N222" s="3"/>
      <c r="O222" s="1"/>
      <c r="P222" s="1"/>
      <c r="Q222" s="29">
        <f t="shared" si="16"/>
        <v>1922.713908</v>
      </c>
    </row>
    <row r="223" spans="1:17" ht="12.75" hidden="1">
      <c r="A223" s="186">
        <v>25</v>
      </c>
      <c r="B223" s="277" t="s">
        <v>25</v>
      </c>
      <c r="C223" s="46"/>
      <c r="D223" s="6"/>
      <c r="E223" s="81"/>
      <c r="F223" s="69"/>
      <c r="G223" s="72"/>
      <c r="H223" s="72"/>
      <c r="I223" s="69"/>
      <c r="J223" s="21"/>
      <c r="K223" s="21"/>
      <c r="L223" s="3"/>
      <c r="M223" s="28"/>
      <c r="N223" s="3"/>
      <c r="O223" s="1"/>
      <c r="P223" s="1"/>
      <c r="Q223" s="29">
        <f t="shared" si="16"/>
        <v>0</v>
      </c>
    </row>
    <row r="224" spans="1:17" ht="12.75" hidden="1">
      <c r="A224" s="186">
        <v>26</v>
      </c>
      <c r="B224" s="277" t="s">
        <v>26</v>
      </c>
      <c r="C224" s="46"/>
      <c r="D224" s="6"/>
      <c r="E224" s="81"/>
      <c r="F224" s="69"/>
      <c r="G224" s="72"/>
      <c r="H224" s="72"/>
      <c r="I224" s="2"/>
      <c r="J224" s="3"/>
      <c r="K224" s="21"/>
      <c r="L224" s="3"/>
      <c r="M224" s="28"/>
      <c r="N224" s="3"/>
      <c r="O224" s="1"/>
      <c r="P224" s="1"/>
      <c r="Q224" s="29">
        <f t="shared" si="16"/>
        <v>0</v>
      </c>
    </row>
    <row r="225" spans="1:17" ht="12.75" hidden="1">
      <c r="A225" s="186">
        <v>27</v>
      </c>
      <c r="B225" s="277" t="s">
        <v>27</v>
      </c>
      <c r="C225" s="46"/>
      <c r="D225" s="6"/>
      <c r="E225" s="81"/>
      <c r="F225" s="69"/>
      <c r="G225" s="72"/>
      <c r="H225" s="72"/>
      <c r="I225" s="2"/>
      <c r="J225" s="3"/>
      <c r="K225" s="21">
        <f>24*2.713908</f>
        <v>65.133792</v>
      </c>
      <c r="L225" s="28"/>
      <c r="M225" s="28"/>
      <c r="N225" s="3"/>
      <c r="O225" s="1"/>
      <c r="P225" s="1"/>
      <c r="Q225" s="29">
        <f t="shared" si="16"/>
        <v>65.133792</v>
      </c>
    </row>
    <row r="226" spans="1:17" ht="12.75" hidden="1">
      <c r="A226" s="186">
        <v>28</v>
      </c>
      <c r="B226" s="277" t="s">
        <v>28</v>
      </c>
      <c r="C226" s="46"/>
      <c r="D226" s="6"/>
      <c r="E226" s="81"/>
      <c r="F226" s="69"/>
      <c r="G226" s="72"/>
      <c r="H226" s="72"/>
      <c r="I226" s="69"/>
      <c r="J226" s="3"/>
      <c r="K226" s="21">
        <f>5*2.713908</f>
        <v>13.56954</v>
      </c>
      <c r="L226" s="3"/>
      <c r="M226" s="28"/>
      <c r="N226" s="3"/>
      <c r="O226" s="1"/>
      <c r="P226" s="1"/>
      <c r="Q226" s="29">
        <f t="shared" si="16"/>
        <v>13.56954</v>
      </c>
    </row>
    <row r="227" spans="1:17" ht="12.75" hidden="1">
      <c r="A227" s="186">
        <v>29</v>
      </c>
      <c r="B227" s="277" t="s">
        <v>29</v>
      </c>
      <c r="C227" s="46"/>
      <c r="D227" s="6"/>
      <c r="E227" s="81"/>
      <c r="F227" s="69"/>
      <c r="G227" s="74"/>
      <c r="H227" s="74"/>
      <c r="I227" s="69"/>
      <c r="J227" s="3"/>
      <c r="K227" s="21">
        <f>7*2.713908</f>
        <v>18.997356</v>
      </c>
      <c r="L227" s="3"/>
      <c r="M227" s="28"/>
      <c r="N227" s="3"/>
      <c r="O227" s="1"/>
      <c r="P227" s="1"/>
      <c r="Q227" s="29">
        <f t="shared" si="16"/>
        <v>18.997356</v>
      </c>
    </row>
    <row r="228" spans="1:17" ht="12.75" hidden="1">
      <c r="A228" s="186">
        <v>30</v>
      </c>
      <c r="B228" s="277" t="s">
        <v>37</v>
      </c>
      <c r="C228" s="46"/>
      <c r="D228" s="6"/>
      <c r="E228" s="70"/>
      <c r="F228" s="69"/>
      <c r="G228" s="70">
        <f>63.83</f>
        <v>63.83</v>
      </c>
      <c r="H228" s="74"/>
      <c r="I228" s="32"/>
      <c r="J228" s="3"/>
      <c r="K228" s="21"/>
      <c r="L228" s="33"/>
      <c r="M228" s="28"/>
      <c r="N228" s="3"/>
      <c r="O228" s="1"/>
      <c r="P228" s="1"/>
      <c r="Q228" s="29">
        <f t="shared" si="16"/>
        <v>63.83</v>
      </c>
    </row>
    <row r="229" spans="1:17" ht="13.5" hidden="1" thickBot="1">
      <c r="A229" s="186">
        <v>31</v>
      </c>
      <c r="B229" s="278" t="s">
        <v>36</v>
      </c>
      <c r="C229" s="60"/>
      <c r="D229" s="40"/>
      <c r="E229" s="76"/>
      <c r="F229" s="76"/>
      <c r="G229" s="76"/>
      <c r="H229" s="76"/>
      <c r="I229" s="41"/>
      <c r="J229" s="42"/>
      <c r="K229" s="43">
        <f>106*2.713908</f>
        <v>287.674248</v>
      </c>
      <c r="L229" s="44"/>
      <c r="M229" s="42"/>
      <c r="N229" s="42"/>
      <c r="O229" s="45"/>
      <c r="P229" s="188"/>
      <c r="Q229" s="29">
        <f t="shared" si="16"/>
        <v>287.674248</v>
      </c>
    </row>
    <row r="230" spans="2:17" ht="13.5" hidden="1" thickBot="1">
      <c r="B230" s="24" t="s">
        <v>12</v>
      </c>
      <c r="C230" s="89">
        <f>SUM(C218:C229)</f>
        <v>0</v>
      </c>
      <c r="D230" s="89">
        <f>SUM(D218:D229)</f>
        <v>0</v>
      </c>
      <c r="E230" s="95">
        <f>SUM(E199:E228)+E229</f>
        <v>106452.34999999999</v>
      </c>
      <c r="F230" s="90">
        <f>SUM(F199:F228)</f>
        <v>0</v>
      </c>
      <c r="G230" s="90">
        <f>SUM(G199:G228)+G229</f>
        <v>9642.32</v>
      </c>
      <c r="H230" s="90">
        <f>SUM(H199:H228)+H229</f>
        <v>4002.86</v>
      </c>
      <c r="I230" s="90">
        <f aca="true" t="shared" si="17" ref="I230:O230">SUM(I199:I228)</f>
        <v>0</v>
      </c>
      <c r="J230" s="90">
        <f t="shared" si="17"/>
        <v>5323.140000000001</v>
      </c>
      <c r="K230" s="90">
        <f t="shared" si="17"/>
        <v>27980.42373600001</v>
      </c>
      <c r="L230" s="90">
        <f t="shared" si="17"/>
        <v>21.68</v>
      </c>
      <c r="M230" s="96">
        <f t="shared" si="17"/>
        <v>108429</v>
      </c>
      <c r="N230" s="96">
        <f t="shared" si="17"/>
        <v>0</v>
      </c>
      <c r="O230" s="96">
        <f t="shared" si="17"/>
        <v>0</v>
      </c>
      <c r="P230" s="96">
        <f>SUM(P199:P228)+P229</f>
        <v>0</v>
      </c>
      <c r="Q230" s="19">
        <f>SUM(Q199:Q228)+Q229</f>
        <v>262139.44798400003</v>
      </c>
    </row>
    <row r="231" spans="2:17" ht="13.5" hidden="1" thickBot="1">
      <c r="B231" s="61"/>
      <c r="C231" s="162">
        <v>2110</v>
      </c>
      <c r="D231" s="162">
        <v>2111</v>
      </c>
      <c r="E231" s="159">
        <v>2210</v>
      </c>
      <c r="F231" s="92">
        <v>2230</v>
      </c>
      <c r="G231" s="92">
        <v>2240</v>
      </c>
      <c r="H231" s="92">
        <v>2250</v>
      </c>
      <c r="I231" s="92">
        <v>2271</v>
      </c>
      <c r="J231" s="11">
        <v>2272</v>
      </c>
      <c r="K231" s="11">
        <v>2273</v>
      </c>
      <c r="L231" s="93">
        <v>2274</v>
      </c>
      <c r="M231" s="93">
        <v>2275</v>
      </c>
      <c r="N231" s="93">
        <v>2800</v>
      </c>
      <c r="O231" s="93">
        <v>2730</v>
      </c>
      <c r="P231" s="241">
        <v>2282</v>
      </c>
      <c r="Q231" s="19">
        <f>E230+F230+G230+J230+K230+L230+M230+O230+P230+N230</f>
        <v>257848.913736</v>
      </c>
    </row>
    <row r="232" spans="2:17" ht="15.75" hidden="1" thickBot="1">
      <c r="B232" s="51" t="s">
        <v>35</v>
      </c>
      <c r="C232" s="91"/>
      <c r="D232" s="91"/>
      <c r="E232" s="85">
        <f>10099.84+51988.29</f>
        <v>62088.130000000005</v>
      </c>
      <c r="F232" s="85"/>
      <c r="G232" s="85">
        <f>5707.66+3934.63</f>
        <v>9642.29</v>
      </c>
      <c r="H232" s="85">
        <v>4002.86</v>
      </c>
      <c r="I232" s="85"/>
      <c r="J232" s="62">
        <f>5323.14</f>
        <v>5323.14</v>
      </c>
      <c r="K232" s="62">
        <f>24225.44+5502.71</f>
        <v>29728.149999999998</v>
      </c>
      <c r="L232" s="85">
        <f>21.68</f>
        <v>21.68</v>
      </c>
      <c r="M232" s="86">
        <f>108429</f>
        <v>108429</v>
      </c>
      <c r="N232" s="86"/>
      <c r="O232" s="62"/>
      <c r="P232" s="63"/>
      <c r="Q232" s="179">
        <f>E232+F232+G232+I232+J232+K232+L232+M232+O232+P232+N232+H232</f>
        <v>219235.25</v>
      </c>
    </row>
    <row r="233" spans="2:17" ht="15.75" hidden="1">
      <c r="B233" s="249" t="s">
        <v>12</v>
      </c>
      <c r="C233" s="65"/>
      <c r="D233" s="65"/>
      <c r="E233" s="294">
        <f aca="true" t="shared" si="18" ref="E233:P233">SUM(E232)</f>
        <v>62088.130000000005</v>
      </c>
      <c r="F233" s="294">
        <f t="shared" si="18"/>
        <v>0</v>
      </c>
      <c r="G233" s="294">
        <f t="shared" si="18"/>
        <v>9642.29</v>
      </c>
      <c r="H233" s="294">
        <f t="shared" si="18"/>
        <v>4002.86</v>
      </c>
      <c r="I233" s="294">
        <f t="shared" si="18"/>
        <v>0</v>
      </c>
      <c r="J233" s="294">
        <f t="shared" si="18"/>
        <v>5323.14</v>
      </c>
      <c r="K233" s="294">
        <f>SUM(K232)</f>
        <v>29728.149999999998</v>
      </c>
      <c r="L233" s="294">
        <f t="shared" si="18"/>
        <v>21.68</v>
      </c>
      <c r="M233" s="294">
        <f t="shared" si="18"/>
        <v>108429</v>
      </c>
      <c r="N233" s="294">
        <f t="shared" si="18"/>
        <v>0</v>
      </c>
      <c r="O233" s="294">
        <f t="shared" si="18"/>
        <v>0</v>
      </c>
      <c r="P233" s="294">
        <f t="shared" si="18"/>
        <v>0</v>
      </c>
      <c r="Q233" s="294">
        <f>SUM(E233:P233)</f>
        <v>219235.25</v>
      </c>
    </row>
    <row r="234" spans="2:17" ht="15.75" hidden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2:17" ht="15.75" hidden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2:17" ht="15.75" hidden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2:17" ht="15.75" hidden="1">
      <c r="B237" s="360"/>
      <c r="C237" s="360"/>
      <c r="D237" s="360"/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</row>
    <row r="238" spans="2:17" ht="15.75" hidden="1" thickBot="1">
      <c r="B238" s="361" t="s">
        <v>44</v>
      </c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</row>
    <row r="239" spans="2:17" ht="13.5" hidden="1" thickBot="1">
      <c r="B239" s="291" t="s">
        <v>31</v>
      </c>
      <c r="C239" s="162">
        <v>2110</v>
      </c>
      <c r="D239" s="162">
        <v>2111</v>
      </c>
      <c r="E239" s="159">
        <v>2210</v>
      </c>
      <c r="F239" s="92">
        <v>2230</v>
      </c>
      <c r="G239" s="92">
        <v>2240</v>
      </c>
      <c r="H239" s="92">
        <v>2250</v>
      </c>
      <c r="I239" s="92">
        <v>2271</v>
      </c>
      <c r="J239" s="11">
        <v>2272</v>
      </c>
      <c r="K239" s="11">
        <v>2273</v>
      </c>
      <c r="L239" s="93">
        <v>2274</v>
      </c>
      <c r="M239" s="93">
        <v>2275</v>
      </c>
      <c r="N239" s="93">
        <v>2800</v>
      </c>
      <c r="O239" s="93">
        <v>2730</v>
      </c>
      <c r="P239" s="241">
        <v>2282</v>
      </c>
      <c r="Q239" s="173" t="s">
        <v>30</v>
      </c>
    </row>
    <row r="240" spans="1:17" ht="12.75" hidden="1">
      <c r="A240" s="186">
        <v>1</v>
      </c>
      <c r="B240" s="276" t="s">
        <v>0</v>
      </c>
      <c r="C240" s="35"/>
      <c r="D240" s="196"/>
      <c r="E240" s="197">
        <f>7000+204.8</f>
        <v>7204.8</v>
      </c>
      <c r="F240" s="198"/>
      <c r="G240" s="199">
        <f>63.83+99</f>
        <v>162.82999999999998</v>
      </c>
      <c r="H240" s="190"/>
      <c r="I240" s="211"/>
      <c r="J240" s="200"/>
      <c r="K240" s="201"/>
      <c r="L240" s="200"/>
      <c r="M240" s="201"/>
      <c r="N240" s="201"/>
      <c r="O240" s="202"/>
      <c r="P240" s="305">
        <f>4494</f>
        <v>4494</v>
      </c>
      <c r="Q240" s="23">
        <f aca="true" t="shared" si="19" ref="Q240:Q245">SUM(E240:P240)</f>
        <v>11861.630000000001</v>
      </c>
    </row>
    <row r="241" spans="1:17" ht="12.75" hidden="1">
      <c r="A241" s="186">
        <v>2</v>
      </c>
      <c r="B241" s="277" t="s">
        <v>1</v>
      </c>
      <c r="C241" s="12"/>
      <c r="D241" s="203"/>
      <c r="E241" s="192"/>
      <c r="F241" s="204"/>
      <c r="G241" s="190">
        <f>63.83</f>
        <v>63.83</v>
      </c>
      <c r="H241" s="190"/>
      <c r="I241" s="203"/>
      <c r="J241" s="205"/>
      <c r="K241" s="206"/>
      <c r="L241" s="207"/>
      <c r="M241" s="208"/>
      <c r="N241" s="208"/>
      <c r="O241" s="209"/>
      <c r="P241" s="306"/>
      <c r="Q241" s="29">
        <f t="shared" si="19"/>
        <v>63.83</v>
      </c>
    </row>
    <row r="242" spans="1:17" ht="12.75" hidden="1">
      <c r="A242" s="186">
        <v>3</v>
      </c>
      <c r="B242" s="277" t="s">
        <v>2</v>
      </c>
      <c r="C242" s="12"/>
      <c r="D242" s="203"/>
      <c r="E242" s="192">
        <f>14991.4+1040.02+1372.5+1071.22</f>
        <v>18475.14</v>
      </c>
      <c r="F242" s="204"/>
      <c r="G242" s="190">
        <f>63.83+73.94</f>
        <v>137.76999999999998</v>
      </c>
      <c r="H242" s="190"/>
      <c r="I242" s="203"/>
      <c r="J242" s="205"/>
      <c r="K242" s="206">
        <v>1254.23</v>
      </c>
      <c r="L242" s="207"/>
      <c r="M242" s="208"/>
      <c r="N242" s="208"/>
      <c r="O242" s="209"/>
      <c r="P242" s="210">
        <v>58422</v>
      </c>
      <c r="Q242" s="29">
        <f t="shared" si="19"/>
        <v>78289.14</v>
      </c>
    </row>
    <row r="243" spans="1:17" ht="12.75" hidden="1">
      <c r="A243" s="186">
        <v>4</v>
      </c>
      <c r="B243" s="277" t="s">
        <v>3</v>
      </c>
      <c r="C243" s="12"/>
      <c r="D243" s="203"/>
      <c r="E243" s="192">
        <f>767.6</f>
        <v>767.6</v>
      </c>
      <c r="F243" s="204"/>
      <c r="G243" s="190">
        <f>63.83</f>
        <v>63.83</v>
      </c>
      <c r="H243" s="190"/>
      <c r="I243" s="203"/>
      <c r="J243" s="205"/>
      <c r="K243" s="206">
        <v>548.39</v>
      </c>
      <c r="L243" s="207"/>
      <c r="M243" s="208"/>
      <c r="N243" s="208"/>
      <c r="O243" s="209"/>
      <c r="P243" s="210"/>
      <c r="Q243" s="29">
        <f t="shared" si="19"/>
        <v>1379.8200000000002</v>
      </c>
    </row>
    <row r="244" spans="1:17" ht="12.75" hidden="1">
      <c r="A244" s="186">
        <v>5</v>
      </c>
      <c r="B244" s="277" t="s">
        <v>4</v>
      </c>
      <c r="C244" s="12"/>
      <c r="D244" s="203"/>
      <c r="E244" s="192">
        <f>14210+14500+6880+14410</f>
        <v>50000</v>
      </c>
      <c r="F244" s="204"/>
      <c r="G244" s="190">
        <f>63.83</f>
        <v>63.83</v>
      </c>
      <c r="H244" s="190"/>
      <c r="I244" s="203"/>
      <c r="J244" s="205"/>
      <c r="K244" s="206">
        <v>352.92</v>
      </c>
      <c r="L244" s="207"/>
      <c r="M244" s="208"/>
      <c r="N244" s="208"/>
      <c r="O244" s="209"/>
      <c r="P244" s="210"/>
      <c r="Q244" s="29">
        <f t="shared" si="19"/>
        <v>50416.75</v>
      </c>
    </row>
    <row r="245" spans="1:17" ht="12.75" hidden="1">
      <c r="A245" s="186">
        <v>6</v>
      </c>
      <c r="B245" s="277" t="s">
        <v>5</v>
      </c>
      <c r="C245" s="12"/>
      <c r="D245" s="203"/>
      <c r="E245" s="192">
        <f>866.68*1.2</f>
        <v>1040.0159999999998</v>
      </c>
      <c r="F245" s="204"/>
      <c r="G245" s="211">
        <f>308.03+453.28+2400+6716.4+1253.04</f>
        <v>11130.75</v>
      </c>
      <c r="H245" s="211"/>
      <c r="I245" s="211"/>
      <c r="J245" s="206">
        <f>442.26+766.8</f>
        <v>1209.06</v>
      </c>
      <c r="K245" s="206"/>
      <c r="L245" s="207"/>
      <c r="M245" s="208"/>
      <c r="N245" s="206"/>
      <c r="O245" s="209"/>
      <c r="P245" s="210">
        <f>(2*4494)+4494+4494+4494+4494+4494</f>
        <v>31458</v>
      </c>
      <c r="Q245" s="29">
        <f t="shared" si="19"/>
        <v>44837.826</v>
      </c>
    </row>
    <row r="246" spans="1:17" ht="12.75" hidden="1">
      <c r="A246" s="186">
        <v>7</v>
      </c>
      <c r="B246" s="277" t="s">
        <v>6</v>
      </c>
      <c r="C246" s="12"/>
      <c r="D246" s="203"/>
      <c r="E246" s="192"/>
      <c r="F246" s="204"/>
      <c r="G246" s="190">
        <f>639+53.7</f>
        <v>692.7</v>
      </c>
      <c r="H246" s="190"/>
      <c r="I246" s="211"/>
      <c r="J246" s="212"/>
      <c r="K246" s="206"/>
      <c r="L246" s="213"/>
      <c r="M246" s="206">
        <f>51383.5+45012.5</f>
        <v>96396</v>
      </c>
      <c r="N246" s="206"/>
      <c r="O246" s="209"/>
      <c r="P246" s="210">
        <f>4*4494</f>
        <v>17976</v>
      </c>
      <c r="Q246" s="29">
        <f aca="true" t="shared" si="20" ref="Q246:Q270">SUM(E246:P246)</f>
        <v>115064.7</v>
      </c>
    </row>
    <row r="247" spans="1:17" ht="12.75" hidden="1">
      <c r="A247" s="186">
        <v>8</v>
      </c>
      <c r="B247" s="277" t="s">
        <v>7</v>
      </c>
      <c r="C247" s="12"/>
      <c r="D247" s="203"/>
      <c r="E247" s="192"/>
      <c r="F247" s="204"/>
      <c r="G247" s="190">
        <f>73.52</f>
        <v>73.52</v>
      </c>
      <c r="H247" s="190"/>
      <c r="I247" s="211"/>
      <c r="J247" s="212"/>
      <c r="K247" s="206">
        <v>238.9</v>
      </c>
      <c r="L247" s="213"/>
      <c r="M247" s="206"/>
      <c r="N247" s="206"/>
      <c r="O247" s="209"/>
      <c r="P247" s="306"/>
      <c r="Q247" s="29">
        <f t="shared" si="20"/>
        <v>312.42</v>
      </c>
    </row>
    <row r="248" spans="1:17" ht="12.75" hidden="1">
      <c r="A248" s="186">
        <v>9</v>
      </c>
      <c r="B248" s="277" t="s">
        <v>8</v>
      </c>
      <c r="C248" s="12"/>
      <c r="D248" s="203"/>
      <c r="E248" s="192"/>
      <c r="F248" s="204"/>
      <c r="G248" s="190">
        <f>63.83+63.83+182</f>
        <v>309.65999999999997</v>
      </c>
      <c r="H248" s="190"/>
      <c r="I248" s="211"/>
      <c r="J248" s="212">
        <f>1271.94</f>
        <v>1271.94</v>
      </c>
      <c r="K248" s="206">
        <v>580.97</v>
      </c>
      <c r="L248" s="213"/>
      <c r="M248" s="206"/>
      <c r="N248" s="206"/>
      <c r="O248" s="209"/>
      <c r="P248" s="306"/>
      <c r="Q248" s="29">
        <f t="shared" si="20"/>
        <v>2162.5699999999997</v>
      </c>
    </row>
    <row r="249" spans="1:17" ht="12.75" hidden="1">
      <c r="A249" s="186">
        <v>10</v>
      </c>
      <c r="B249" s="277" t="s">
        <v>9</v>
      </c>
      <c r="C249" s="12"/>
      <c r="D249" s="203"/>
      <c r="E249" s="192"/>
      <c r="F249" s="204"/>
      <c r="G249" s="190">
        <f>63.83</f>
        <v>63.83</v>
      </c>
      <c r="H249" s="190"/>
      <c r="I249" s="211"/>
      <c r="J249" s="212"/>
      <c r="K249" s="206">
        <v>871.44</v>
      </c>
      <c r="L249" s="213"/>
      <c r="M249" s="206"/>
      <c r="N249" s="206"/>
      <c r="O249" s="209"/>
      <c r="P249" s="210"/>
      <c r="Q249" s="29">
        <f t="shared" si="20"/>
        <v>935.2700000000001</v>
      </c>
    </row>
    <row r="250" spans="1:17" ht="12.75" hidden="1">
      <c r="A250" s="186">
        <v>11</v>
      </c>
      <c r="B250" s="277" t="s">
        <v>10</v>
      </c>
      <c r="C250" s="12"/>
      <c r="D250" s="203"/>
      <c r="E250" s="192"/>
      <c r="F250" s="204"/>
      <c r="G250" s="190">
        <f>66.47</f>
        <v>66.47</v>
      </c>
      <c r="H250" s="190"/>
      <c r="I250" s="211"/>
      <c r="J250" s="206"/>
      <c r="K250" s="206">
        <v>54.3</v>
      </c>
      <c r="L250" s="213"/>
      <c r="M250" s="206"/>
      <c r="N250" s="206"/>
      <c r="O250" s="209"/>
      <c r="P250" s="210">
        <f>4494</f>
        <v>4494</v>
      </c>
      <c r="Q250" s="29">
        <f t="shared" si="20"/>
        <v>4614.77</v>
      </c>
    </row>
    <row r="251" spans="1:17" ht="12.75" hidden="1">
      <c r="A251" s="186">
        <v>12</v>
      </c>
      <c r="B251" s="277" t="s">
        <v>11</v>
      </c>
      <c r="C251" s="12"/>
      <c r="D251" s="203"/>
      <c r="E251" s="192">
        <f>4375+4050+140+1580+520.01</f>
        <v>10665.01</v>
      </c>
      <c r="F251" s="204"/>
      <c r="G251" s="190">
        <f>63.83</f>
        <v>63.83</v>
      </c>
      <c r="H251" s="190"/>
      <c r="I251" s="211"/>
      <c r="J251" s="212"/>
      <c r="K251" s="206"/>
      <c r="L251" s="207"/>
      <c r="M251" s="206"/>
      <c r="N251" s="206"/>
      <c r="O251" s="209"/>
      <c r="P251" s="210"/>
      <c r="Q251" s="29">
        <f t="shared" si="20"/>
        <v>10728.84</v>
      </c>
    </row>
    <row r="252" spans="1:17" ht="12.75" hidden="1">
      <c r="A252" s="186">
        <v>13</v>
      </c>
      <c r="B252" s="277" t="s">
        <v>13</v>
      </c>
      <c r="C252" s="12"/>
      <c r="D252" s="203"/>
      <c r="E252" s="192"/>
      <c r="F252" s="204"/>
      <c r="G252" s="190">
        <f>38.29</f>
        <v>38.29</v>
      </c>
      <c r="H252" s="190"/>
      <c r="I252" s="211"/>
      <c r="J252" s="212"/>
      <c r="K252" s="206"/>
      <c r="L252" s="213"/>
      <c r="M252" s="206"/>
      <c r="N252" s="206"/>
      <c r="O252" s="209"/>
      <c r="P252" s="306"/>
      <c r="Q252" s="29">
        <f t="shared" si="20"/>
        <v>38.29</v>
      </c>
    </row>
    <row r="253" spans="1:17" ht="12.75" hidden="1">
      <c r="A253" s="186">
        <v>14</v>
      </c>
      <c r="B253" s="277" t="s">
        <v>14</v>
      </c>
      <c r="C253" s="12"/>
      <c r="D253" s="203"/>
      <c r="E253" s="192"/>
      <c r="F253" s="204"/>
      <c r="G253" s="190">
        <f>63.83</f>
        <v>63.83</v>
      </c>
      <c r="H253" s="190"/>
      <c r="I253" s="211"/>
      <c r="J253" s="212"/>
      <c r="K253" s="206">
        <v>103.16</v>
      </c>
      <c r="L253" s="213"/>
      <c r="M253" s="206"/>
      <c r="N253" s="206"/>
      <c r="O253" s="209"/>
      <c r="P253" s="306"/>
      <c r="Q253" s="29">
        <f t="shared" si="20"/>
        <v>166.99</v>
      </c>
    </row>
    <row r="254" spans="1:17" ht="12.75" hidden="1">
      <c r="A254" s="186">
        <v>15</v>
      </c>
      <c r="B254" s="277" t="s">
        <v>15</v>
      </c>
      <c r="C254" s="12"/>
      <c r="D254" s="203"/>
      <c r="E254" s="192"/>
      <c r="F254" s="204"/>
      <c r="G254" s="190">
        <f>63.83</f>
        <v>63.83</v>
      </c>
      <c r="H254" s="190"/>
      <c r="I254" s="211"/>
      <c r="J254" s="212"/>
      <c r="K254" s="206">
        <v>10.85</v>
      </c>
      <c r="L254" s="213"/>
      <c r="M254" s="206">
        <f>46536</f>
        <v>46536</v>
      </c>
      <c r="N254" s="206"/>
      <c r="O254" s="209"/>
      <c r="P254" s="306"/>
      <c r="Q254" s="29">
        <f t="shared" si="20"/>
        <v>46610.68</v>
      </c>
    </row>
    <row r="255" spans="1:17" ht="12.75" hidden="1">
      <c r="A255" s="186">
        <v>16</v>
      </c>
      <c r="B255" s="277" t="s">
        <v>16</v>
      </c>
      <c r="C255" s="12"/>
      <c r="D255" s="203"/>
      <c r="E255" s="192"/>
      <c r="F255" s="204"/>
      <c r="G255" s="190">
        <f>63.83</f>
        <v>63.83</v>
      </c>
      <c r="H255" s="190"/>
      <c r="I255" s="211"/>
      <c r="J255" s="212"/>
      <c r="K255" s="206"/>
      <c r="L255" s="213"/>
      <c r="M255" s="206">
        <f>48613.5+52353</f>
        <v>100966.5</v>
      </c>
      <c r="N255" s="206"/>
      <c r="O255" s="209"/>
      <c r="P255" s="306"/>
      <c r="Q255" s="29">
        <f t="shared" si="20"/>
        <v>101030.33</v>
      </c>
    </row>
    <row r="256" spans="1:17" ht="12.75" hidden="1">
      <c r="A256" s="186">
        <v>17</v>
      </c>
      <c r="B256" s="277" t="s">
        <v>17</v>
      </c>
      <c r="C256" s="12"/>
      <c r="D256" s="203"/>
      <c r="E256" s="192">
        <f>8862</f>
        <v>8862</v>
      </c>
      <c r="F256" s="204"/>
      <c r="G256" s="190">
        <f>1828.8+1541.66+63.83</f>
        <v>3434.29</v>
      </c>
      <c r="H256" s="190"/>
      <c r="I256" s="211"/>
      <c r="J256" s="212"/>
      <c r="K256" s="206"/>
      <c r="L256" s="213"/>
      <c r="M256" s="206"/>
      <c r="N256" s="206"/>
      <c r="O256" s="209"/>
      <c r="P256" s="306"/>
      <c r="Q256" s="29">
        <f t="shared" si="20"/>
        <v>12296.29</v>
      </c>
    </row>
    <row r="257" spans="1:17" ht="12.75" hidden="1">
      <c r="A257" s="186">
        <v>18</v>
      </c>
      <c r="B257" s="277" t="s">
        <v>18</v>
      </c>
      <c r="C257" s="12"/>
      <c r="D257" s="203"/>
      <c r="E257" s="192">
        <f>3200+5980</f>
        <v>9180</v>
      </c>
      <c r="F257" s="204"/>
      <c r="G257" s="190">
        <f>413.88+67.15+149</f>
        <v>630.03</v>
      </c>
      <c r="H257" s="190"/>
      <c r="I257" s="211"/>
      <c r="J257" s="206"/>
      <c r="K257" s="206"/>
      <c r="L257" s="207"/>
      <c r="M257" s="206"/>
      <c r="N257" s="206"/>
      <c r="O257" s="209"/>
      <c r="P257" s="210">
        <f>2*4494</f>
        <v>8988</v>
      </c>
      <c r="Q257" s="29">
        <f t="shared" si="20"/>
        <v>18798.03</v>
      </c>
    </row>
    <row r="258" spans="1:17" ht="12.75" hidden="1">
      <c r="A258" s="186">
        <v>19</v>
      </c>
      <c r="B258" s="277" t="s">
        <v>19</v>
      </c>
      <c r="C258" s="12"/>
      <c r="D258" s="203"/>
      <c r="E258" s="192"/>
      <c r="F258" s="204"/>
      <c r="G258" s="190">
        <f>63.83</f>
        <v>63.83</v>
      </c>
      <c r="H258" s="190"/>
      <c r="I258" s="211"/>
      <c r="J258" s="212">
        <f>635.97</f>
        <v>635.97</v>
      </c>
      <c r="K258" s="206">
        <v>89.58</v>
      </c>
      <c r="L258" s="213"/>
      <c r="M258" s="206"/>
      <c r="N258" s="206"/>
      <c r="O258" s="209"/>
      <c r="P258" s="306"/>
      <c r="Q258" s="29">
        <f t="shared" si="20"/>
        <v>789.3800000000001</v>
      </c>
    </row>
    <row r="259" spans="1:17" ht="12.75" hidden="1">
      <c r="A259" s="186">
        <v>20</v>
      </c>
      <c r="B259" s="277" t="s">
        <v>20</v>
      </c>
      <c r="C259" s="46"/>
      <c r="D259" s="204"/>
      <c r="E259" s="192"/>
      <c r="F259" s="204"/>
      <c r="G259" s="190"/>
      <c r="H259" s="190"/>
      <c r="I259" s="211"/>
      <c r="J259" s="205"/>
      <c r="K259" s="206">
        <v>67.87</v>
      </c>
      <c r="L259" s="213"/>
      <c r="M259" s="206"/>
      <c r="N259" s="206"/>
      <c r="O259" s="209"/>
      <c r="P259" s="306"/>
      <c r="Q259" s="29">
        <f t="shared" si="20"/>
        <v>67.87</v>
      </c>
    </row>
    <row r="260" spans="1:17" ht="12.75" hidden="1">
      <c r="A260" s="186">
        <v>21</v>
      </c>
      <c r="B260" s="277" t="s">
        <v>21</v>
      </c>
      <c r="C260" s="46"/>
      <c r="D260" s="214"/>
      <c r="E260" s="192"/>
      <c r="F260" s="204"/>
      <c r="G260" s="190">
        <f>63.83</f>
        <v>63.83</v>
      </c>
      <c r="H260" s="190"/>
      <c r="I260" s="211"/>
      <c r="J260" s="206"/>
      <c r="K260" s="206">
        <v>838.87</v>
      </c>
      <c r="L260" s="213"/>
      <c r="M260" s="206"/>
      <c r="N260" s="206"/>
      <c r="O260" s="209"/>
      <c r="P260" s="306"/>
      <c r="Q260" s="29">
        <f t="shared" si="20"/>
        <v>902.7</v>
      </c>
    </row>
    <row r="261" spans="1:17" ht="12.75" hidden="1">
      <c r="A261" s="186">
        <v>22</v>
      </c>
      <c r="B261" s="277" t="s">
        <v>22</v>
      </c>
      <c r="C261" s="46"/>
      <c r="D261" s="214"/>
      <c r="E261" s="192">
        <f>1102</f>
        <v>1102</v>
      </c>
      <c r="F261" s="204"/>
      <c r="G261" s="190">
        <f>63.83</f>
        <v>63.83</v>
      </c>
      <c r="H261" s="190"/>
      <c r="I261" s="211"/>
      <c r="J261" s="205"/>
      <c r="K261" s="206"/>
      <c r="L261" s="213"/>
      <c r="M261" s="206"/>
      <c r="N261" s="206"/>
      <c r="O261" s="209"/>
      <c r="P261" s="306"/>
      <c r="Q261" s="29">
        <f t="shared" si="20"/>
        <v>1165.83</v>
      </c>
    </row>
    <row r="262" spans="1:17" ht="12.75" hidden="1">
      <c r="A262" s="186">
        <v>23</v>
      </c>
      <c r="B262" s="277" t="s">
        <v>23</v>
      </c>
      <c r="C262" s="46"/>
      <c r="D262" s="214"/>
      <c r="E262" s="192"/>
      <c r="F262" s="204"/>
      <c r="G262" s="190">
        <f>76.85+149</f>
        <v>225.85</v>
      </c>
      <c r="H262" s="190"/>
      <c r="I262" s="211"/>
      <c r="J262" s="205"/>
      <c r="K262" s="206">
        <v>190.03</v>
      </c>
      <c r="L262" s="213"/>
      <c r="M262" s="206"/>
      <c r="N262" s="206"/>
      <c r="O262" s="209"/>
      <c r="P262" s="210">
        <f>4494</f>
        <v>4494</v>
      </c>
      <c r="Q262" s="29">
        <f t="shared" si="20"/>
        <v>4909.88</v>
      </c>
    </row>
    <row r="263" spans="1:17" ht="12.75" hidden="1">
      <c r="A263" s="186">
        <v>24</v>
      </c>
      <c r="B263" s="277" t="s">
        <v>24</v>
      </c>
      <c r="C263" s="46"/>
      <c r="D263" s="214"/>
      <c r="E263" s="192"/>
      <c r="F263" s="204"/>
      <c r="G263" s="215"/>
      <c r="H263" s="215"/>
      <c r="I263" s="203"/>
      <c r="J263" s="205"/>
      <c r="K263" s="206"/>
      <c r="L263" s="205"/>
      <c r="M263" s="206"/>
      <c r="N263" s="206"/>
      <c r="O263" s="209"/>
      <c r="P263" s="306"/>
      <c r="Q263" s="29">
        <f t="shared" si="20"/>
        <v>0</v>
      </c>
    </row>
    <row r="264" spans="1:17" ht="12.75" hidden="1">
      <c r="A264" s="186">
        <v>25</v>
      </c>
      <c r="B264" s="277" t="s">
        <v>25</v>
      </c>
      <c r="C264" s="46"/>
      <c r="D264" s="214"/>
      <c r="E264" s="192"/>
      <c r="F264" s="204"/>
      <c r="G264" s="216"/>
      <c r="H264" s="216"/>
      <c r="I264" s="203"/>
      <c r="J264" s="205"/>
      <c r="K264" s="206"/>
      <c r="L264" s="205"/>
      <c r="M264" s="206"/>
      <c r="N264" s="206"/>
      <c r="O264" s="209"/>
      <c r="P264" s="306"/>
      <c r="Q264" s="29">
        <f t="shared" si="20"/>
        <v>0</v>
      </c>
    </row>
    <row r="265" spans="1:17" ht="12.75" hidden="1">
      <c r="A265" s="186">
        <v>26</v>
      </c>
      <c r="B265" s="277" t="s">
        <v>26</v>
      </c>
      <c r="C265" s="46"/>
      <c r="D265" s="214"/>
      <c r="E265" s="192"/>
      <c r="F265" s="204"/>
      <c r="G265" s="216"/>
      <c r="H265" s="216"/>
      <c r="I265" s="203"/>
      <c r="J265" s="205"/>
      <c r="K265" s="206"/>
      <c r="L265" s="205"/>
      <c r="M265" s="206"/>
      <c r="N265" s="206"/>
      <c r="O265" s="209"/>
      <c r="P265" s="306"/>
      <c r="Q265" s="29">
        <f t="shared" si="20"/>
        <v>0</v>
      </c>
    </row>
    <row r="266" spans="1:17" ht="12.75" hidden="1">
      <c r="A266" s="186">
        <v>27</v>
      </c>
      <c r="B266" s="277" t="s">
        <v>27</v>
      </c>
      <c r="C266" s="46"/>
      <c r="D266" s="214"/>
      <c r="E266" s="192"/>
      <c r="F266" s="204"/>
      <c r="G266" s="190"/>
      <c r="H266" s="190"/>
      <c r="I266" s="203"/>
      <c r="J266" s="205"/>
      <c r="K266" s="206"/>
      <c r="L266" s="212"/>
      <c r="M266" s="206"/>
      <c r="N266" s="206"/>
      <c r="O266" s="209"/>
      <c r="P266" s="306"/>
      <c r="Q266" s="29">
        <f t="shared" si="20"/>
        <v>0</v>
      </c>
    </row>
    <row r="267" spans="1:17" ht="12.75" hidden="1">
      <c r="A267" s="186">
        <v>28</v>
      </c>
      <c r="B267" s="277" t="s">
        <v>28</v>
      </c>
      <c r="C267" s="46"/>
      <c r="D267" s="214"/>
      <c r="E267" s="192"/>
      <c r="F267" s="204"/>
      <c r="G267" s="203"/>
      <c r="H267" s="203"/>
      <c r="I267" s="203"/>
      <c r="J267" s="205"/>
      <c r="K267" s="206">
        <v>5.42</v>
      </c>
      <c r="L267" s="205"/>
      <c r="M267" s="206"/>
      <c r="N267" s="206"/>
      <c r="O267" s="209"/>
      <c r="P267" s="306"/>
      <c r="Q267" s="29">
        <f t="shared" si="20"/>
        <v>5.42</v>
      </c>
    </row>
    <row r="268" spans="1:17" ht="12.75" hidden="1">
      <c r="A268" s="186">
        <v>29</v>
      </c>
      <c r="B268" s="277" t="s">
        <v>29</v>
      </c>
      <c r="C268" s="46"/>
      <c r="D268" s="214"/>
      <c r="E268" s="192"/>
      <c r="F268" s="204"/>
      <c r="G268" s="217"/>
      <c r="H268" s="217"/>
      <c r="I268" s="217"/>
      <c r="J268" s="205"/>
      <c r="K268" s="206">
        <v>2.71</v>
      </c>
      <c r="L268" s="205"/>
      <c r="M268" s="206"/>
      <c r="N268" s="206"/>
      <c r="O268" s="209"/>
      <c r="P268" s="210">
        <f>4494+4494+4494</f>
        <v>13482</v>
      </c>
      <c r="Q268" s="29">
        <f t="shared" si="20"/>
        <v>13484.71</v>
      </c>
    </row>
    <row r="269" spans="1:17" ht="12.75" hidden="1">
      <c r="A269" s="186">
        <v>30</v>
      </c>
      <c r="B269" s="277" t="s">
        <v>36</v>
      </c>
      <c r="C269" s="46"/>
      <c r="D269" s="214"/>
      <c r="E269" s="215"/>
      <c r="F269" s="204"/>
      <c r="G269" s="217"/>
      <c r="H269" s="217"/>
      <c r="I269" s="218"/>
      <c r="J269" s="205"/>
      <c r="K269" s="206"/>
      <c r="L269" s="218"/>
      <c r="M269" s="206"/>
      <c r="N269" s="206"/>
      <c r="O269" s="209"/>
      <c r="P269" s="306"/>
      <c r="Q269" s="29">
        <f t="shared" si="20"/>
        <v>0</v>
      </c>
    </row>
    <row r="270" spans="1:17" ht="13.5" hidden="1" thickBot="1">
      <c r="A270" s="186">
        <v>31</v>
      </c>
      <c r="B270" s="278" t="s">
        <v>46</v>
      </c>
      <c r="C270" s="60"/>
      <c r="D270" s="219"/>
      <c r="E270" s="220"/>
      <c r="F270" s="221"/>
      <c r="G270" s="206">
        <v>63.83</v>
      </c>
      <c r="H270" s="300"/>
      <c r="I270" s="222"/>
      <c r="J270" s="223"/>
      <c r="K270" s="224"/>
      <c r="L270" s="222"/>
      <c r="M270" s="223"/>
      <c r="N270" s="223"/>
      <c r="O270" s="225"/>
      <c r="P270" s="317"/>
      <c r="Q270" s="29">
        <f t="shared" si="20"/>
        <v>63.83</v>
      </c>
    </row>
    <row r="271" spans="2:17" ht="13.5" hidden="1" thickBot="1">
      <c r="B271" s="48" t="s">
        <v>12</v>
      </c>
      <c r="C271" s="89">
        <f>SUM(C259:C270)</f>
        <v>0</v>
      </c>
      <c r="D271" s="89">
        <f>SUM(D259:D270)</f>
        <v>0</v>
      </c>
      <c r="E271" s="226">
        <f>SUM(E240:E269)+E270</f>
        <v>107296.56599999999</v>
      </c>
      <c r="F271" s="135">
        <f>SUM(F240:F269)</f>
        <v>0</v>
      </c>
      <c r="G271" s="135">
        <f>SUM(G240:G269)+G270</f>
        <v>17668.120000000006</v>
      </c>
      <c r="H271" s="135">
        <f>SUM(H240:H269)+H270</f>
        <v>0</v>
      </c>
      <c r="I271" s="135">
        <f>SUM(I240:I269)</f>
        <v>0</v>
      </c>
      <c r="J271" s="135">
        <f>SUM(J240:J269)</f>
        <v>3116.9700000000003</v>
      </c>
      <c r="K271" s="135">
        <f>SUM(K240:K269)+K270</f>
        <v>5209.639999999999</v>
      </c>
      <c r="L271" s="135">
        <f>SUM(L240:L269)</f>
        <v>0</v>
      </c>
      <c r="M271" s="142">
        <f>SUM(M240:M269)</f>
        <v>243898.5</v>
      </c>
      <c r="N271" s="142">
        <f>SUM(N240:N270)</f>
        <v>0</v>
      </c>
      <c r="O271" s="142">
        <f>SUM(O240:O269)</f>
        <v>0</v>
      </c>
      <c r="P271" s="142">
        <f>SUM(P240:P269)</f>
        <v>143808</v>
      </c>
      <c r="Q271" s="97">
        <f>SUM(Q240:Q269)+Q270</f>
        <v>520997.79600000003</v>
      </c>
    </row>
    <row r="272" spans="2:17" ht="13.5" hidden="1" thickBot="1">
      <c r="B272" s="61"/>
      <c r="C272" s="94">
        <v>2110</v>
      </c>
      <c r="D272" s="94">
        <v>2111</v>
      </c>
      <c r="E272" s="178">
        <v>2210</v>
      </c>
      <c r="F272" s="139">
        <v>2230</v>
      </c>
      <c r="G272" s="139">
        <v>2240</v>
      </c>
      <c r="H272" s="139">
        <v>2250</v>
      </c>
      <c r="I272" s="139">
        <v>2271</v>
      </c>
      <c r="J272" s="140">
        <v>2272</v>
      </c>
      <c r="K272" s="140">
        <v>2273</v>
      </c>
      <c r="L272" s="139">
        <v>2274</v>
      </c>
      <c r="M272" s="139">
        <v>2275</v>
      </c>
      <c r="N272" s="139">
        <v>2800</v>
      </c>
      <c r="O272" s="139">
        <v>2730</v>
      </c>
      <c r="P272" s="140">
        <v>2282</v>
      </c>
      <c r="Q272" s="97">
        <f>E271+F271+G271+J271+K271+L271+M271+O271+P271+N271+I271</f>
        <v>520997.796</v>
      </c>
    </row>
    <row r="273" spans="2:17" ht="15.75" hidden="1" thickBot="1">
      <c r="B273" s="51"/>
      <c r="C273" s="51"/>
      <c r="D273" s="51"/>
      <c r="E273" s="143">
        <f>85930.79+26238.4</f>
        <v>112169.19</v>
      </c>
      <c r="F273" s="143">
        <f>0</f>
        <v>0</v>
      </c>
      <c r="G273" s="143">
        <f>10622.45+329.26</f>
        <v>10951.710000000001</v>
      </c>
      <c r="H273" s="143">
        <v>0</v>
      </c>
      <c r="I273" s="143">
        <v>0</v>
      </c>
      <c r="J273" s="144">
        <f>3116.97</f>
        <v>3116.97</v>
      </c>
      <c r="K273" s="144">
        <f>3710.71+4500</f>
        <v>8210.71</v>
      </c>
      <c r="L273" s="143">
        <v>0</v>
      </c>
      <c r="M273" s="145">
        <f>142932+100966.5</f>
        <v>243898.5</v>
      </c>
      <c r="N273" s="145">
        <v>0</v>
      </c>
      <c r="O273" s="144">
        <v>0</v>
      </c>
      <c r="P273" s="146">
        <v>143808</v>
      </c>
      <c r="Q273" s="179">
        <f>SUM(E273:P273)</f>
        <v>522155.08</v>
      </c>
    </row>
    <row r="274" spans="2:17" ht="15.75" hidden="1">
      <c r="B274" s="249" t="s">
        <v>12</v>
      </c>
      <c r="C274" s="65"/>
      <c r="D274" s="65"/>
      <c r="E274" s="294">
        <f aca="true" t="shared" si="21" ref="E274:P274">SUM(E273)</f>
        <v>112169.19</v>
      </c>
      <c r="F274" s="294">
        <f t="shared" si="21"/>
        <v>0</v>
      </c>
      <c r="G274" s="294">
        <f t="shared" si="21"/>
        <v>10951.710000000001</v>
      </c>
      <c r="H274" s="294">
        <f t="shared" si="21"/>
        <v>0</v>
      </c>
      <c r="I274" s="294">
        <f t="shared" si="21"/>
        <v>0</v>
      </c>
      <c r="J274" s="294">
        <f t="shared" si="21"/>
        <v>3116.97</v>
      </c>
      <c r="K274" s="294">
        <f>SUM(K273)</f>
        <v>8210.71</v>
      </c>
      <c r="L274" s="294">
        <f t="shared" si="21"/>
        <v>0</v>
      </c>
      <c r="M274" s="294">
        <f t="shared" si="21"/>
        <v>243898.5</v>
      </c>
      <c r="N274" s="294">
        <f t="shared" si="21"/>
        <v>0</v>
      </c>
      <c r="O274" s="294">
        <f t="shared" si="21"/>
        <v>0</v>
      </c>
      <c r="P274" s="294">
        <f t="shared" si="21"/>
        <v>143808</v>
      </c>
      <c r="Q274" s="294">
        <f>SUM(E274:P274)</f>
        <v>522155.08</v>
      </c>
    </row>
    <row r="275" spans="2:17" ht="15.75" hidden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2:17" ht="15.75" hidden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2:17" ht="15.75" hidden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2:17" ht="15.75" hidden="1" thickBot="1">
      <c r="B278" s="361" t="s">
        <v>45</v>
      </c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</row>
    <row r="279" spans="2:17" ht="13.5" hidden="1" thickBot="1">
      <c r="B279" s="315" t="s">
        <v>31</v>
      </c>
      <c r="C279" s="162">
        <v>2110</v>
      </c>
      <c r="D279" s="162">
        <v>2111</v>
      </c>
      <c r="E279" s="159">
        <v>2210</v>
      </c>
      <c r="F279" s="92">
        <v>2230</v>
      </c>
      <c r="G279" s="92">
        <v>2240</v>
      </c>
      <c r="H279" s="92">
        <v>2250</v>
      </c>
      <c r="I279" s="92">
        <v>2271</v>
      </c>
      <c r="J279" s="11">
        <v>2272</v>
      </c>
      <c r="K279" s="11">
        <v>2273</v>
      </c>
      <c r="L279" s="93">
        <v>2274</v>
      </c>
      <c r="M279" s="93">
        <v>2275</v>
      </c>
      <c r="N279" s="93">
        <v>2800</v>
      </c>
      <c r="O279" s="93">
        <v>2730</v>
      </c>
      <c r="P279" s="11">
        <v>2282</v>
      </c>
      <c r="Q279" s="173" t="s">
        <v>30</v>
      </c>
    </row>
    <row r="280" spans="1:17" ht="12.75" hidden="1">
      <c r="A280" s="186">
        <v>1</v>
      </c>
      <c r="B280" s="276" t="s">
        <v>0</v>
      </c>
      <c r="C280" s="35"/>
      <c r="D280" s="36"/>
      <c r="E280" s="79">
        <f>13000+390</f>
        <v>13390</v>
      </c>
      <c r="F280" s="66"/>
      <c r="G280" s="66">
        <f>63.83+99+139+715+198.04</f>
        <v>1214.87</v>
      </c>
      <c r="H280" s="66"/>
      <c r="I280" s="68"/>
      <c r="J280" s="37"/>
      <c r="K280" s="20"/>
      <c r="L280" s="37"/>
      <c r="M280" s="20"/>
      <c r="N280" s="20"/>
      <c r="O280" s="99"/>
      <c r="P280" s="99"/>
      <c r="Q280" s="23">
        <f aca="true" t="shared" si="22" ref="Q280:Q310">SUM(C280:P280)</f>
        <v>14604.869999999999</v>
      </c>
    </row>
    <row r="281" spans="1:17" ht="12.75" hidden="1">
      <c r="A281" s="186">
        <v>2</v>
      </c>
      <c r="B281" s="277" t="s">
        <v>1</v>
      </c>
      <c r="C281" s="12"/>
      <c r="D281" s="2"/>
      <c r="E281" s="80">
        <f>12000</f>
        <v>12000</v>
      </c>
      <c r="F281" s="69"/>
      <c r="G281" s="71">
        <f>63.83+198.04</f>
        <v>261.87</v>
      </c>
      <c r="H281" s="71"/>
      <c r="I281" s="115"/>
      <c r="J281" s="3"/>
      <c r="K281" s="21"/>
      <c r="L281" s="26"/>
      <c r="M281" s="21"/>
      <c r="N281" s="21"/>
      <c r="O281" s="100"/>
      <c r="P281" s="100"/>
      <c r="Q281" s="29">
        <f t="shared" si="22"/>
        <v>12261.87</v>
      </c>
    </row>
    <row r="282" spans="1:17" ht="12.75" hidden="1">
      <c r="A282" s="186">
        <v>3</v>
      </c>
      <c r="B282" s="277" t="s">
        <v>2</v>
      </c>
      <c r="C282" s="12"/>
      <c r="D282" s="2"/>
      <c r="E282" s="80">
        <v>-1518.45</v>
      </c>
      <c r="F282" s="69"/>
      <c r="G282" s="71">
        <f>63.83+67.73+992.46+198.04+10000-7200.65</f>
        <v>4121.41</v>
      </c>
      <c r="H282" s="71">
        <v>118.8</v>
      </c>
      <c r="I282" s="69"/>
      <c r="J282" s="3"/>
      <c r="K282" s="21">
        <v>1417.12</v>
      </c>
      <c r="L282" s="26"/>
      <c r="M282" s="21">
        <f>14850</f>
        <v>14850</v>
      </c>
      <c r="N282" s="21"/>
      <c r="O282" s="100"/>
      <c r="P282" s="100"/>
      <c r="Q282" s="29">
        <f t="shared" si="22"/>
        <v>18988.88</v>
      </c>
    </row>
    <row r="283" spans="1:17" ht="12.75" hidden="1">
      <c r="A283" s="186">
        <v>4</v>
      </c>
      <c r="B283" s="277" t="s">
        <v>3</v>
      </c>
      <c r="C283" s="12"/>
      <c r="D283" s="2"/>
      <c r="E283" s="80"/>
      <c r="F283" s="69"/>
      <c r="G283" s="71">
        <f>63.83+149+198.04</f>
        <v>410.87</v>
      </c>
      <c r="H283" s="71"/>
      <c r="I283" s="72"/>
      <c r="J283" s="3"/>
      <c r="K283" s="21">
        <v>409.94</v>
      </c>
      <c r="L283" s="26"/>
      <c r="M283" s="21"/>
      <c r="N283" s="21"/>
      <c r="O283" s="100"/>
      <c r="P283" s="116">
        <v>330</v>
      </c>
      <c r="Q283" s="29">
        <f t="shared" si="22"/>
        <v>1150.81</v>
      </c>
    </row>
    <row r="284" spans="1:17" ht="12.75" hidden="1">
      <c r="A284" s="186">
        <v>5</v>
      </c>
      <c r="B284" s="277" t="s">
        <v>4</v>
      </c>
      <c r="C284" s="12"/>
      <c r="D284" s="2"/>
      <c r="E284" s="80">
        <f>870+845</f>
        <v>1715</v>
      </c>
      <c r="F284" s="69"/>
      <c r="G284" s="71">
        <f>63.83+198.04</f>
        <v>261.87</v>
      </c>
      <c r="H284" s="71"/>
      <c r="I284" s="73"/>
      <c r="J284" s="3"/>
      <c r="K284" s="21">
        <v>122.16</v>
      </c>
      <c r="L284" s="26"/>
      <c r="M284" s="21"/>
      <c r="N284" s="21"/>
      <c r="O284" s="100"/>
      <c r="P284" s="100"/>
      <c r="Q284" s="29">
        <f t="shared" si="22"/>
        <v>2099.0299999999997</v>
      </c>
    </row>
    <row r="285" spans="1:17" ht="12.75" hidden="1">
      <c r="A285" s="186">
        <v>6</v>
      </c>
      <c r="B285" s="277" t="s">
        <v>5</v>
      </c>
      <c r="C285" s="12"/>
      <c r="D285" s="2"/>
      <c r="E285" s="80">
        <f>1935+9177.5+10822.5+14978+6000+390</f>
        <v>43303</v>
      </c>
      <c r="F285" s="69"/>
      <c r="G285" s="69">
        <f>458.41+198.04</f>
        <v>656.45</v>
      </c>
      <c r="H285" s="69"/>
      <c r="I285" s="73"/>
      <c r="J285" s="21">
        <f>560.2+971.28</f>
        <v>1531.48</v>
      </c>
      <c r="K285" s="21"/>
      <c r="L285" s="26"/>
      <c r="M285" s="21"/>
      <c r="N285" s="21"/>
      <c r="O285" s="100"/>
      <c r="P285" s="100"/>
      <c r="Q285" s="29">
        <f t="shared" si="22"/>
        <v>45490.93</v>
      </c>
    </row>
    <row r="286" spans="1:17" ht="12.75" hidden="1">
      <c r="A286" s="186">
        <v>7</v>
      </c>
      <c r="B286" s="277" t="s">
        <v>6</v>
      </c>
      <c r="C286" s="12"/>
      <c r="D286" s="2"/>
      <c r="E286" s="80"/>
      <c r="F286" s="69"/>
      <c r="G286" s="71">
        <f>53.7+80+200+198.04</f>
        <v>531.74</v>
      </c>
      <c r="H286" s="71"/>
      <c r="I286" s="72"/>
      <c r="J286" s="28"/>
      <c r="K286" s="21">
        <v>542.95</v>
      </c>
      <c r="L286" s="27"/>
      <c r="M286" s="21"/>
      <c r="N286" s="21"/>
      <c r="O286" s="100"/>
      <c r="P286" s="100"/>
      <c r="Q286" s="29">
        <f t="shared" si="22"/>
        <v>1074.69</v>
      </c>
    </row>
    <row r="287" spans="1:17" ht="12.75" hidden="1">
      <c r="A287" s="186">
        <v>8</v>
      </c>
      <c r="B287" s="277" t="s">
        <v>7</v>
      </c>
      <c r="C287" s="12"/>
      <c r="D287" s="2"/>
      <c r="E287" s="80">
        <f>1188+8929+1290+9577</f>
        <v>20984</v>
      </c>
      <c r="F287" s="69"/>
      <c r="G287" s="71">
        <f>73.52+229+198.04</f>
        <v>500.55999999999995</v>
      </c>
      <c r="H287" s="71"/>
      <c r="I287" s="72"/>
      <c r="J287" s="21"/>
      <c r="K287" s="21">
        <v>295.91</v>
      </c>
      <c r="L287" s="27"/>
      <c r="M287" s="28"/>
      <c r="N287" s="28"/>
      <c r="O287" s="100"/>
      <c r="P287" s="100"/>
      <c r="Q287" s="29">
        <f t="shared" si="22"/>
        <v>21780.47</v>
      </c>
    </row>
    <row r="288" spans="1:17" ht="12.75" hidden="1">
      <c r="A288" s="186">
        <v>9</v>
      </c>
      <c r="B288" s="277" t="s">
        <v>8</v>
      </c>
      <c r="C288" s="12"/>
      <c r="D288" s="2"/>
      <c r="E288" s="81">
        <f>1265+390</f>
        <v>1655</v>
      </c>
      <c r="F288" s="69"/>
      <c r="G288" s="71">
        <f>63.83+186.97+63.83+198.04</f>
        <v>512.67</v>
      </c>
      <c r="H288" s="71"/>
      <c r="I288" s="72"/>
      <c r="J288" s="21"/>
      <c r="K288" s="21">
        <v>589.1</v>
      </c>
      <c r="L288" s="27"/>
      <c r="M288" s="31"/>
      <c r="N288" s="31"/>
      <c r="O288" s="100"/>
      <c r="P288" s="100"/>
      <c r="Q288" s="29">
        <f t="shared" si="22"/>
        <v>2756.77</v>
      </c>
    </row>
    <row r="289" spans="1:17" ht="12.75" hidden="1">
      <c r="A289" s="186">
        <v>10</v>
      </c>
      <c r="B289" s="277" t="s">
        <v>9</v>
      </c>
      <c r="C289" s="12"/>
      <c r="D289" s="2"/>
      <c r="E289" s="81">
        <f>6000</f>
        <v>6000</v>
      </c>
      <c r="F289" s="69"/>
      <c r="G289" s="71">
        <f>63.83+100+810.16+591.12+2296.9+198.04</f>
        <v>4060.05</v>
      </c>
      <c r="H289" s="71"/>
      <c r="I289" s="72"/>
      <c r="J289" s="28"/>
      <c r="K289" s="21">
        <v>241.61</v>
      </c>
      <c r="L289" s="27"/>
      <c r="M289" s="31"/>
      <c r="N289" s="31"/>
      <c r="O289" s="100"/>
      <c r="P289" s="100"/>
      <c r="Q289" s="29">
        <f t="shared" si="22"/>
        <v>10301.66</v>
      </c>
    </row>
    <row r="290" spans="1:17" ht="12.75" hidden="1">
      <c r="A290" s="186">
        <v>11</v>
      </c>
      <c r="B290" s="277" t="s">
        <v>10</v>
      </c>
      <c r="C290" s="12"/>
      <c r="D290" s="2"/>
      <c r="E290" s="81"/>
      <c r="F290" s="69"/>
      <c r="G290" s="71">
        <f>66.47+139+198.04</f>
        <v>403.51</v>
      </c>
      <c r="H290" s="71"/>
      <c r="I290" s="72"/>
      <c r="J290" s="21"/>
      <c r="K290" s="21">
        <v>54.3</v>
      </c>
      <c r="L290" s="27"/>
      <c r="M290" s="21"/>
      <c r="N290" s="31"/>
      <c r="O290" s="100"/>
      <c r="P290" s="100"/>
      <c r="Q290" s="29">
        <f t="shared" si="22"/>
        <v>457.81</v>
      </c>
    </row>
    <row r="291" spans="1:17" ht="12.75" hidden="1">
      <c r="A291" s="186">
        <v>12</v>
      </c>
      <c r="B291" s="277" t="s">
        <v>11</v>
      </c>
      <c r="C291" s="12"/>
      <c r="D291" s="2"/>
      <c r="E291" s="81">
        <f>457.5*1.2+6144+8256</f>
        <v>14949</v>
      </c>
      <c r="F291" s="69"/>
      <c r="G291" s="71">
        <f>63.83+53502+124838+198.04</f>
        <v>178601.87000000002</v>
      </c>
      <c r="H291" s="71"/>
      <c r="I291" s="72"/>
      <c r="J291" s="28"/>
      <c r="K291" s="21">
        <v>6515.48</v>
      </c>
      <c r="L291" s="26"/>
      <c r="M291" s="242"/>
      <c r="N291" s="242"/>
      <c r="O291" s="100"/>
      <c r="P291" s="100"/>
      <c r="Q291" s="29">
        <f t="shared" si="22"/>
        <v>200066.35000000003</v>
      </c>
    </row>
    <row r="292" spans="1:17" ht="12.75" hidden="1">
      <c r="A292" s="186">
        <v>13</v>
      </c>
      <c r="B292" s="277" t="s">
        <v>13</v>
      </c>
      <c r="C292" s="12"/>
      <c r="D292" s="2"/>
      <c r="E292" s="81">
        <f>6651+7305</f>
        <v>13956</v>
      </c>
      <c r="F292" s="69"/>
      <c r="G292" s="71">
        <f>38.29+198.04</f>
        <v>236.32999999999998</v>
      </c>
      <c r="H292" s="71"/>
      <c r="I292" s="72"/>
      <c r="J292" s="28"/>
      <c r="K292" s="21">
        <v>276.91</v>
      </c>
      <c r="L292" s="27"/>
      <c r="M292" s="242"/>
      <c r="N292" s="242"/>
      <c r="O292" s="100"/>
      <c r="P292" s="100"/>
      <c r="Q292" s="29">
        <f t="shared" si="22"/>
        <v>14469.24</v>
      </c>
    </row>
    <row r="293" spans="1:17" ht="12.75" hidden="1">
      <c r="A293" s="186">
        <v>14</v>
      </c>
      <c r="B293" s="277" t="s">
        <v>14</v>
      </c>
      <c r="C293" s="12"/>
      <c r="D293" s="2"/>
      <c r="E293" s="81">
        <f>390</f>
        <v>390</v>
      </c>
      <c r="F293" s="69"/>
      <c r="G293" s="71">
        <f>63.83+511.86+198.04</f>
        <v>773.73</v>
      </c>
      <c r="H293" s="71"/>
      <c r="I293" s="72"/>
      <c r="J293" s="28"/>
      <c r="K293" s="21">
        <v>92.3</v>
      </c>
      <c r="L293" s="27"/>
      <c r="M293" s="242"/>
      <c r="N293" s="242"/>
      <c r="O293" s="100"/>
      <c r="P293" s="100"/>
      <c r="Q293" s="29">
        <f t="shared" si="22"/>
        <v>1256.03</v>
      </c>
    </row>
    <row r="294" spans="1:17" ht="12.75" hidden="1">
      <c r="A294" s="186">
        <v>15</v>
      </c>
      <c r="B294" s="277" t="s">
        <v>15</v>
      </c>
      <c r="C294" s="12"/>
      <c r="D294" s="2"/>
      <c r="E294" s="81"/>
      <c r="F294" s="69"/>
      <c r="G294" s="71">
        <f>63.83+139+198.04</f>
        <v>400.87</v>
      </c>
      <c r="H294" s="71"/>
      <c r="I294" s="72"/>
      <c r="J294" s="28"/>
      <c r="K294" s="21">
        <v>46.15</v>
      </c>
      <c r="L294" s="27"/>
      <c r="M294" s="21"/>
      <c r="N294" s="21"/>
      <c r="O294" s="100"/>
      <c r="P294" s="100"/>
      <c r="Q294" s="29">
        <f t="shared" si="22"/>
        <v>447.02</v>
      </c>
    </row>
    <row r="295" spans="1:17" ht="12.75" hidden="1">
      <c r="A295" s="186">
        <v>16</v>
      </c>
      <c r="B295" s="277" t="s">
        <v>16</v>
      </c>
      <c r="C295" s="12"/>
      <c r="D295" s="2"/>
      <c r="E295" s="81">
        <f>5220</f>
        <v>5220</v>
      </c>
      <c r="F295" s="69"/>
      <c r="G295" s="71">
        <f>63.83+198.04</f>
        <v>261.87</v>
      </c>
      <c r="H295" s="71"/>
      <c r="I295" s="72"/>
      <c r="J295" s="28"/>
      <c r="K295" s="21"/>
      <c r="L295" s="27"/>
      <c r="M295" s="31"/>
      <c r="N295" s="31"/>
      <c r="O295" s="100"/>
      <c r="P295" s="100"/>
      <c r="Q295" s="29">
        <f t="shared" si="22"/>
        <v>5481.87</v>
      </c>
    </row>
    <row r="296" spans="1:17" ht="12.75" hidden="1">
      <c r="A296" s="186">
        <v>17</v>
      </c>
      <c r="B296" s="277" t="s">
        <v>17</v>
      </c>
      <c r="C296" s="12"/>
      <c r="D296" s="2"/>
      <c r="E296" s="81"/>
      <c r="F296" s="69"/>
      <c r="G296" s="71">
        <f>63.83+100+3597.22+198.14</f>
        <v>3959.1899999999996</v>
      </c>
      <c r="H296" s="71"/>
      <c r="I296" s="73"/>
      <c r="J296" s="28"/>
      <c r="K296" s="21">
        <v>57.01</v>
      </c>
      <c r="L296" s="27"/>
      <c r="M296" s="242"/>
      <c r="N296" s="242"/>
      <c r="O296" s="100"/>
      <c r="P296" s="100"/>
      <c r="Q296" s="29">
        <f t="shared" si="22"/>
        <v>4016.2</v>
      </c>
    </row>
    <row r="297" spans="1:17" ht="12.75" hidden="1">
      <c r="A297" s="186">
        <v>18</v>
      </c>
      <c r="B297" s="277" t="s">
        <v>18</v>
      </c>
      <c r="C297" s="12"/>
      <c r="D297" s="2"/>
      <c r="E297" s="81">
        <f>252</f>
        <v>252</v>
      </c>
      <c r="F297" s="69"/>
      <c r="G297" s="71">
        <f>67.15+153.97+450+479.67+2296.9+198.04</f>
        <v>3645.73</v>
      </c>
      <c r="H297" s="71"/>
      <c r="I297" s="73"/>
      <c r="J297" s="28"/>
      <c r="K297" s="21">
        <v>181.9</v>
      </c>
      <c r="L297" s="26"/>
      <c r="M297" s="31"/>
      <c r="N297" s="31"/>
      <c r="O297" s="100"/>
      <c r="P297" s="100"/>
      <c r="Q297" s="29">
        <f t="shared" si="22"/>
        <v>4079.63</v>
      </c>
    </row>
    <row r="298" spans="1:17" ht="12.75" hidden="1">
      <c r="A298" s="186">
        <v>19</v>
      </c>
      <c r="B298" s="277" t="s">
        <v>19</v>
      </c>
      <c r="C298" s="12"/>
      <c r="D298" s="2"/>
      <c r="E298" s="81">
        <f>390</f>
        <v>390</v>
      </c>
      <c r="F298" s="69"/>
      <c r="G298" s="71">
        <f>63.83+198.04</f>
        <v>261.87</v>
      </c>
      <c r="H298" s="71"/>
      <c r="I298" s="73"/>
      <c r="J298" s="28"/>
      <c r="K298" s="21">
        <v>48.86</v>
      </c>
      <c r="L298" s="27"/>
      <c r="M298" s="242"/>
      <c r="N298" s="242"/>
      <c r="O298" s="100"/>
      <c r="P298" s="100"/>
      <c r="Q298" s="29">
        <f t="shared" si="22"/>
        <v>700.73</v>
      </c>
    </row>
    <row r="299" spans="1:17" ht="12.75" hidden="1">
      <c r="A299" s="186">
        <v>20</v>
      </c>
      <c r="B299" s="277" t="s">
        <v>20</v>
      </c>
      <c r="C299" s="46"/>
      <c r="D299" s="7"/>
      <c r="E299" s="81">
        <f>4000+252</f>
        <v>4252</v>
      </c>
      <c r="F299" s="69"/>
      <c r="G299" s="71">
        <f>198.04</f>
        <v>198.04</v>
      </c>
      <c r="H299" s="71"/>
      <c r="I299" s="72"/>
      <c r="J299" s="28"/>
      <c r="K299" s="21">
        <v>271.48</v>
      </c>
      <c r="L299" s="27"/>
      <c r="M299" s="21"/>
      <c r="N299" s="21"/>
      <c r="O299" s="100"/>
      <c r="P299" s="100"/>
      <c r="Q299" s="29">
        <f t="shared" si="22"/>
        <v>4721.52</v>
      </c>
    </row>
    <row r="300" spans="1:17" ht="12.75" hidden="1">
      <c r="A300" s="186">
        <v>21</v>
      </c>
      <c r="B300" s="277" t="s">
        <v>21</v>
      </c>
      <c r="C300" s="46"/>
      <c r="D300" s="6"/>
      <c r="E300" s="81">
        <f>390</f>
        <v>390</v>
      </c>
      <c r="F300" s="69"/>
      <c r="G300" s="71">
        <f>63.83+120+198.04</f>
        <v>381.87</v>
      </c>
      <c r="H300" s="71"/>
      <c r="I300" s="73"/>
      <c r="J300" s="28"/>
      <c r="K300" s="21">
        <v>656.98</v>
      </c>
      <c r="L300" s="27"/>
      <c r="M300" s="242"/>
      <c r="N300" s="242"/>
      <c r="O300" s="100"/>
      <c r="P300" s="100"/>
      <c r="Q300" s="29">
        <f t="shared" si="22"/>
        <v>1428.85</v>
      </c>
    </row>
    <row r="301" spans="1:17" ht="12.75" hidden="1">
      <c r="A301" s="186">
        <v>22</v>
      </c>
      <c r="B301" s="277" t="s">
        <v>22</v>
      </c>
      <c r="C301" s="46"/>
      <c r="D301" s="6"/>
      <c r="E301" s="81">
        <f>5020</f>
        <v>5020</v>
      </c>
      <c r="F301" s="69"/>
      <c r="G301" s="71">
        <f>63.83+198.04</f>
        <v>261.87</v>
      </c>
      <c r="H301" s="71"/>
      <c r="I301" s="73"/>
      <c r="J301" s="28"/>
      <c r="K301" s="21">
        <v>247.04</v>
      </c>
      <c r="L301" s="27"/>
      <c r="M301" s="21"/>
      <c r="N301" s="242"/>
      <c r="O301" s="100"/>
      <c r="P301" s="100"/>
      <c r="Q301" s="29">
        <f t="shared" si="22"/>
        <v>5528.91</v>
      </c>
    </row>
    <row r="302" spans="1:17" ht="12.75" hidden="1">
      <c r="A302" s="186">
        <v>23</v>
      </c>
      <c r="B302" s="277" t="s">
        <v>23</v>
      </c>
      <c r="C302" s="46"/>
      <c r="D302" s="6"/>
      <c r="E302" s="81"/>
      <c r="F302" s="69"/>
      <c r="G302" s="71">
        <f>76.85+153.97+198.04</f>
        <v>428.86</v>
      </c>
      <c r="H302" s="71"/>
      <c r="I302" s="72"/>
      <c r="J302" s="3"/>
      <c r="K302" s="21">
        <f>271.48-0.03</f>
        <v>271.45000000000005</v>
      </c>
      <c r="L302" s="27"/>
      <c r="M302" s="242"/>
      <c r="N302" s="242"/>
      <c r="O302" s="100"/>
      <c r="P302" s="100"/>
      <c r="Q302" s="29">
        <f t="shared" si="22"/>
        <v>700.3100000000001</v>
      </c>
    </row>
    <row r="303" spans="1:17" ht="12.75" hidden="1">
      <c r="A303" s="186">
        <v>24</v>
      </c>
      <c r="B303" s="277" t="s">
        <v>24</v>
      </c>
      <c r="C303" s="46"/>
      <c r="D303" s="6"/>
      <c r="E303" s="81">
        <f>1300</f>
        <v>1300</v>
      </c>
      <c r="F303" s="69"/>
      <c r="G303" s="70"/>
      <c r="H303" s="70"/>
      <c r="I303" s="72"/>
      <c r="J303" s="3"/>
      <c r="K303" s="21"/>
      <c r="L303" s="3"/>
      <c r="M303" s="28"/>
      <c r="N303" s="28"/>
      <c r="O303" s="100"/>
      <c r="P303" s="100"/>
      <c r="Q303" s="29">
        <f t="shared" si="22"/>
        <v>1300</v>
      </c>
    </row>
    <row r="304" spans="1:17" ht="12.75" hidden="1">
      <c r="A304" s="186">
        <v>25</v>
      </c>
      <c r="B304" s="277" t="s">
        <v>25</v>
      </c>
      <c r="C304" s="46"/>
      <c r="D304" s="6"/>
      <c r="E304" s="81">
        <f>210*1.2</f>
        <v>252</v>
      </c>
      <c r="F304" s="69"/>
      <c r="G304" s="70">
        <f>198.04</f>
        <v>198.04</v>
      </c>
      <c r="H304" s="70"/>
      <c r="I304" s="72"/>
      <c r="J304" s="3"/>
      <c r="K304" s="21"/>
      <c r="L304" s="3"/>
      <c r="M304" s="242"/>
      <c r="N304" s="242"/>
      <c r="O304" s="100"/>
      <c r="P304" s="100"/>
      <c r="Q304" s="29">
        <f t="shared" si="22"/>
        <v>450.03999999999996</v>
      </c>
    </row>
    <row r="305" spans="1:17" ht="12.75" hidden="1">
      <c r="A305" s="186">
        <v>26</v>
      </c>
      <c r="B305" s="277" t="s">
        <v>26</v>
      </c>
      <c r="C305" s="46"/>
      <c r="D305" s="6"/>
      <c r="E305" s="81"/>
      <c r="F305" s="69"/>
      <c r="G305" s="70">
        <f>198.04</f>
        <v>198.04</v>
      </c>
      <c r="H305" s="70"/>
      <c r="I305" s="72"/>
      <c r="J305" s="3"/>
      <c r="K305" s="21"/>
      <c r="L305" s="3"/>
      <c r="M305" s="242"/>
      <c r="N305" s="242"/>
      <c r="O305" s="100"/>
      <c r="P305" s="100"/>
      <c r="Q305" s="29">
        <f t="shared" si="22"/>
        <v>198.04</v>
      </c>
    </row>
    <row r="306" spans="1:17" ht="12.75" hidden="1">
      <c r="A306" s="186">
        <v>27</v>
      </c>
      <c r="B306" s="277" t="s">
        <v>27</v>
      </c>
      <c r="C306" s="46"/>
      <c r="D306" s="6"/>
      <c r="E306" s="81">
        <f>471.91</f>
        <v>471.91</v>
      </c>
      <c r="F306" s="69"/>
      <c r="G306" s="70">
        <f>198.04</f>
        <v>198.04</v>
      </c>
      <c r="H306" s="70"/>
      <c r="I306" s="72"/>
      <c r="J306" s="3"/>
      <c r="K306" s="21">
        <v>545.7</v>
      </c>
      <c r="L306" s="28"/>
      <c r="M306" s="28"/>
      <c r="N306" s="28"/>
      <c r="O306" s="100"/>
      <c r="P306" s="100"/>
      <c r="Q306" s="29">
        <f t="shared" si="22"/>
        <v>1215.65</v>
      </c>
    </row>
    <row r="307" spans="1:17" ht="12.75" hidden="1">
      <c r="A307" s="186">
        <v>28</v>
      </c>
      <c r="B307" s="277" t="s">
        <v>28</v>
      </c>
      <c r="C307" s="46"/>
      <c r="D307" s="6"/>
      <c r="E307" s="81"/>
      <c r="F307" s="69"/>
      <c r="G307" s="70">
        <f>198.04</f>
        <v>198.04</v>
      </c>
      <c r="H307" s="70"/>
      <c r="I307" s="72"/>
      <c r="J307" s="3"/>
      <c r="K307" s="21">
        <v>2.71</v>
      </c>
      <c r="L307" s="3"/>
      <c r="M307" s="3"/>
      <c r="N307" s="3"/>
      <c r="O307" s="100"/>
      <c r="P307" s="100"/>
      <c r="Q307" s="29">
        <f t="shared" si="22"/>
        <v>200.75</v>
      </c>
    </row>
    <row r="308" spans="1:17" ht="12.75" hidden="1">
      <c r="A308" s="186">
        <v>29</v>
      </c>
      <c r="B308" s="277" t="s">
        <v>29</v>
      </c>
      <c r="C308" s="46"/>
      <c r="D308" s="6"/>
      <c r="E308" s="81"/>
      <c r="F308" s="69"/>
      <c r="G308" s="70">
        <f>198.04</f>
        <v>198.04</v>
      </c>
      <c r="H308" s="70"/>
      <c r="I308" s="74"/>
      <c r="J308" s="3"/>
      <c r="K308" s="21">
        <v>5.42</v>
      </c>
      <c r="L308" s="3"/>
      <c r="M308" s="3"/>
      <c r="N308" s="3"/>
      <c r="O308" s="100"/>
      <c r="P308" s="100"/>
      <c r="Q308" s="29">
        <f t="shared" si="22"/>
        <v>203.45999999999998</v>
      </c>
    </row>
    <row r="309" spans="1:17" ht="12.75" hidden="1">
      <c r="A309" s="186">
        <v>30</v>
      </c>
      <c r="B309" s="277" t="s">
        <v>36</v>
      </c>
      <c r="C309" s="46"/>
      <c r="D309" s="6"/>
      <c r="E309" s="69">
        <f>330+1000</f>
        <v>1330</v>
      </c>
      <c r="F309" s="69"/>
      <c r="G309" s="70"/>
      <c r="H309" s="70"/>
      <c r="I309" s="75"/>
      <c r="J309" s="3"/>
      <c r="K309" s="21"/>
      <c r="L309" s="83"/>
      <c r="M309" s="3"/>
      <c r="N309" s="3"/>
      <c r="O309" s="100"/>
      <c r="P309" s="100"/>
      <c r="Q309" s="29">
        <f t="shared" si="22"/>
        <v>1330</v>
      </c>
    </row>
    <row r="310" spans="1:17" ht="13.5" hidden="1" thickBot="1">
      <c r="A310" s="186">
        <v>31</v>
      </c>
      <c r="B310" s="278" t="s">
        <v>32</v>
      </c>
      <c r="C310" s="60"/>
      <c r="D310" s="40"/>
      <c r="E310" s="76"/>
      <c r="F310" s="76"/>
      <c r="G310" s="82">
        <v>63.83</v>
      </c>
      <c r="H310" s="82"/>
      <c r="I310" s="78"/>
      <c r="J310" s="42"/>
      <c r="K310" s="43"/>
      <c r="L310" s="84"/>
      <c r="M310" s="42"/>
      <c r="N310" s="42"/>
      <c r="O310" s="101"/>
      <c r="P310" s="101"/>
      <c r="Q310" s="29">
        <f t="shared" si="22"/>
        <v>63.83</v>
      </c>
    </row>
    <row r="311" spans="2:17" ht="13.5" hidden="1" thickBot="1">
      <c r="B311" s="48" t="s">
        <v>12</v>
      </c>
      <c r="C311" s="48">
        <f>SUM(C299:C310)</f>
        <v>0</v>
      </c>
      <c r="D311" s="48">
        <f>SUM(D299:D310)</f>
        <v>0</v>
      </c>
      <c r="E311" s="183">
        <f>SUM(E280:E309)+E310</f>
        <v>145701.46</v>
      </c>
      <c r="F311" s="184">
        <f aca="true" t="shared" si="23" ref="F311:P311">SUM(F280:F309)</f>
        <v>0</v>
      </c>
      <c r="G311" s="184">
        <f>SUM(G280:G310)</f>
        <v>203402.00000000003</v>
      </c>
      <c r="H311" s="184">
        <f>SUM(H280:H310)</f>
        <v>118.8</v>
      </c>
      <c r="I311" s="184">
        <f t="shared" si="23"/>
        <v>0</v>
      </c>
      <c r="J311" s="184">
        <f t="shared" si="23"/>
        <v>1531.48</v>
      </c>
      <c r="K311" s="184">
        <f t="shared" si="23"/>
        <v>12892.48</v>
      </c>
      <c r="L311" s="184">
        <f t="shared" si="23"/>
        <v>0</v>
      </c>
      <c r="M311" s="193">
        <f t="shared" si="23"/>
        <v>14850</v>
      </c>
      <c r="N311" s="193">
        <f t="shared" si="23"/>
        <v>0</v>
      </c>
      <c r="O311" s="193">
        <f t="shared" si="23"/>
        <v>0</v>
      </c>
      <c r="P311" s="193">
        <f t="shared" si="23"/>
        <v>330</v>
      </c>
      <c r="Q311" s="19">
        <f>SUM(Q280:Q309)+Q310</f>
        <v>378826.22000000003</v>
      </c>
    </row>
    <row r="312" spans="2:17" ht="13.5" hidden="1" thickBot="1">
      <c r="B312" s="61"/>
      <c r="C312" s="162">
        <v>2110</v>
      </c>
      <c r="D312" s="162">
        <v>2111</v>
      </c>
      <c r="E312" s="178">
        <v>2210</v>
      </c>
      <c r="F312" s="139">
        <v>2230</v>
      </c>
      <c r="G312" s="139">
        <v>2240</v>
      </c>
      <c r="H312" s="139">
        <v>2250</v>
      </c>
      <c r="I312" s="139">
        <v>2271</v>
      </c>
      <c r="J312" s="140">
        <v>2272</v>
      </c>
      <c r="K312" s="140">
        <v>2273</v>
      </c>
      <c r="L312" s="139">
        <v>2274</v>
      </c>
      <c r="M312" s="139">
        <v>2275</v>
      </c>
      <c r="N312" s="139">
        <v>2800</v>
      </c>
      <c r="O312" s="93">
        <v>2730</v>
      </c>
      <c r="P312" s="11">
        <v>2282</v>
      </c>
      <c r="Q312" s="19">
        <f>E311+F311+G311+J311+K311+L311+M311+O311+P311+I311+N311</f>
        <v>378707.42</v>
      </c>
    </row>
    <row r="313" spans="2:17" ht="15" hidden="1">
      <c r="B313" s="51"/>
      <c r="C313" s="51"/>
      <c r="D313" s="51"/>
      <c r="E313" s="145">
        <f>117634.91+25940</f>
        <v>143574.91</v>
      </c>
      <c r="F313" s="145">
        <f>0</f>
        <v>0</v>
      </c>
      <c r="G313" s="145">
        <f>20462.94+189655.5</f>
        <v>210118.44</v>
      </c>
      <c r="H313" s="145">
        <f>118.8</f>
        <v>118.8</v>
      </c>
      <c r="I313" s="145">
        <v>0</v>
      </c>
      <c r="J313" s="227">
        <f>1531.48</f>
        <v>1531.48</v>
      </c>
      <c r="K313" s="227">
        <f>614.22+7817.14</f>
        <v>8431.36</v>
      </c>
      <c r="L313" s="145">
        <v>0</v>
      </c>
      <c r="M313" s="145">
        <f>14850</f>
        <v>14850</v>
      </c>
      <c r="N313" s="145">
        <v>0</v>
      </c>
      <c r="O313" s="227">
        <v>0</v>
      </c>
      <c r="P313" s="228">
        <f>330</f>
        <v>330</v>
      </c>
      <c r="Q313" s="141">
        <f>SUM(E313:P313)</f>
        <v>378954.98999999993</v>
      </c>
    </row>
    <row r="314" spans="2:17" ht="15.75" hidden="1">
      <c r="B314" s="249" t="s">
        <v>12</v>
      </c>
      <c r="C314" s="65"/>
      <c r="D314" s="65"/>
      <c r="E314" s="294">
        <f aca="true" t="shared" si="24" ref="E314:P314">SUM(E313)</f>
        <v>143574.91</v>
      </c>
      <c r="F314" s="294">
        <f t="shared" si="24"/>
        <v>0</v>
      </c>
      <c r="G314" s="294">
        <f t="shared" si="24"/>
        <v>210118.44</v>
      </c>
      <c r="H314" s="294">
        <f t="shared" si="24"/>
        <v>118.8</v>
      </c>
      <c r="I314" s="294">
        <f t="shared" si="24"/>
        <v>0</v>
      </c>
      <c r="J314" s="294">
        <f t="shared" si="24"/>
        <v>1531.48</v>
      </c>
      <c r="K314" s="294">
        <f>SUM(K313)</f>
        <v>8431.36</v>
      </c>
      <c r="L314" s="294">
        <f t="shared" si="24"/>
        <v>0</v>
      </c>
      <c r="M314" s="294">
        <f t="shared" si="24"/>
        <v>14850</v>
      </c>
      <c r="N314" s="294">
        <f t="shared" si="24"/>
        <v>0</v>
      </c>
      <c r="O314" s="294">
        <f t="shared" si="24"/>
        <v>0</v>
      </c>
      <c r="P314" s="294">
        <f t="shared" si="24"/>
        <v>330</v>
      </c>
      <c r="Q314" s="294">
        <f>SUM(E314:P314)</f>
        <v>378954.98999999993</v>
      </c>
    </row>
    <row r="315" spans="2:17" ht="15.75" hidden="1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2:17" ht="15.75" hidden="1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2:17" ht="15.75" hidden="1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2:17" ht="15.75" hidden="1" thickBot="1">
      <c r="B318" s="361" t="s">
        <v>47</v>
      </c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61"/>
      <c r="P318" s="361"/>
      <c r="Q318" s="361"/>
    </row>
    <row r="319" spans="2:17" ht="13.5" hidden="1" thickBot="1">
      <c r="B319" s="18" t="s">
        <v>31</v>
      </c>
      <c r="C319" s="318">
        <v>2110</v>
      </c>
      <c r="D319" s="318">
        <v>2111</v>
      </c>
      <c r="E319" s="312">
        <v>2210</v>
      </c>
      <c r="F319" s="313">
        <v>2230</v>
      </c>
      <c r="G319" s="313">
        <v>2240</v>
      </c>
      <c r="H319" s="313">
        <v>2250</v>
      </c>
      <c r="I319" s="313">
        <v>2271</v>
      </c>
      <c r="J319" s="311">
        <v>2272</v>
      </c>
      <c r="K319" s="311">
        <v>2273</v>
      </c>
      <c r="L319" s="319">
        <v>2274</v>
      </c>
      <c r="M319" s="320">
        <v>2275</v>
      </c>
      <c r="N319" s="321">
        <v>2800</v>
      </c>
      <c r="O319" s="314">
        <v>2730</v>
      </c>
      <c r="P319" s="311">
        <v>2282</v>
      </c>
      <c r="Q319" s="173" t="s">
        <v>30</v>
      </c>
    </row>
    <row r="320" spans="1:17" ht="12.75" hidden="1">
      <c r="A320" s="186">
        <v>1</v>
      </c>
      <c r="B320" s="276" t="s">
        <v>0</v>
      </c>
      <c r="C320" s="35"/>
      <c r="D320" s="196"/>
      <c r="E320" s="197">
        <f>5260+450+6759.79</f>
        <v>12469.79</v>
      </c>
      <c r="F320" s="199">
        <f>2322.23+565.75</f>
        <v>2887.98</v>
      </c>
      <c r="G320" s="199">
        <f>139+139+63.83+99+777.6+333.39</f>
        <v>1551.8200000000002</v>
      </c>
      <c r="H320" s="199"/>
      <c r="I320" s="229"/>
      <c r="J320" s="230"/>
      <c r="K320" s="201">
        <v>480.52</v>
      </c>
      <c r="L320" s="200"/>
      <c r="M320" s="201">
        <v>11426.25</v>
      </c>
      <c r="N320" s="201"/>
      <c r="O320" s="295"/>
      <c r="P320" s="295"/>
      <c r="Q320" s="23">
        <f aca="true" t="shared" si="25" ref="Q320:Q325">SUM(E320:P320)</f>
        <v>28816.36</v>
      </c>
    </row>
    <row r="321" spans="1:17" ht="12.75" hidden="1">
      <c r="A321" s="186">
        <v>2</v>
      </c>
      <c r="B321" s="277" t="s">
        <v>1</v>
      </c>
      <c r="C321" s="12"/>
      <c r="D321" s="203"/>
      <c r="E321" s="192">
        <f>450+2599.92</f>
        <v>3049.92</v>
      </c>
      <c r="F321" s="211">
        <f>2904.54+943.76</f>
        <v>3848.3</v>
      </c>
      <c r="G321" s="190">
        <f>135+135+63.83+777.6+333.39</f>
        <v>1444.8200000000002</v>
      </c>
      <c r="H321" s="190"/>
      <c r="I321" s="215"/>
      <c r="J321" s="212"/>
      <c r="K321" s="206">
        <v>1875.91</v>
      </c>
      <c r="L321" s="207"/>
      <c r="M321" s="206"/>
      <c r="N321" s="206"/>
      <c r="O321" s="296"/>
      <c r="P321" s="296"/>
      <c r="Q321" s="29">
        <f t="shared" si="25"/>
        <v>10218.95</v>
      </c>
    </row>
    <row r="322" spans="1:17" ht="12.75" hidden="1">
      <c r="A322" s="186">
        <v>3</v>
      </c>
      <c r="B322" s="277" t="s">
        <v>2</v>
      </c>
      <c r="C322" s="12"/>
      <c r="D322" s="203"/>
      <c r="E322" s="192"/>
      <c r="F322" s="211"/>
      <c r="G322" s="190"/>
      <c r="H322" s="190"/>
      <c r="I322" s="211"/>
      <c r="J322" s="212"/>
      <c r="K322" s="206"/>
      <c r="L322" s="207"/>
      <c r="M322" s="206"/>
      <c r="N322" s="206"/>
      <c r="O322" s="296"/>
      <c r="P322" s="296"/>
      <c r="Q322" s="29">
        <f t="shared" si="25"/>
        <v>0</v>
      </c>
    </row>
    <row r="323" spans="1:17" ht="12.75" hidden="1">
      <c r="A323" s="186">
        <v>4</v>
      </c>
      <c r="B323" s="277" t="s">
        <v>3</v>
      </c>
      <c r="C323" s="12"/>
      <c r="D323" s="203"/>
      <c r="E323" s="192">
        <f>450</f>
        <v>450</v>
      </c>
      <c r="F323" s="211">
        <f>2453.64</f>
        <v>2453.64</v>
      </c>
      <c r="G323" s="190">
        <f>149+149+63.83+333.39</f>
        <v>695.22</v>
      </c>
      <c r="H323" s="190"/>
      <c r="I323" s="215"/>
      <c r="J323" s="212"/>
      <c r="K323" s="206">
        <v>1224.37</v>
      </c>
      <c r="L323" s="207"/>
      <c r="M323" s="206"/>
      <c r="N323" s="206"/>
      <c r="O323" s="296"/>
      <c r="P323" s="296"/>
      <c r="Q323" s="29">
        <f t="shared" si="25"/>
        <v>4823.23</v>
      </c>
    </row>
    <row r="324" spans="1:17" ht="12.75" hidden="1">
      <c r="A324" s="186">
        <v>5</v>
      </c>
      <c r="B324" s="277" t="s">
        <v>4</v>
      </c>
      <c r="C324" s="12"/>
      <c r="D324" s="203"/>
      <c r="E324" s="192">
        <f>450</f>
        <v>450</v>
      </c>
      <c r="F324" s="211">
        <f>759.27</f>
        <v>759.27</v>
      </c>
      <c r="G324" s="190">
        <f>63.83+333.39</f>
        <v>397.21999999999997</v>
      </c>
      <c r="H324" s="190"/>
      <c r="I324" s="211"/>
      <c r="J324" s="212"/>
      <c r="K324" s="206">
        <v>1791.76</v>
      </c>
      <c r="L324" s="207"/>
      <c r="M324" s="206">
        <v>27575.35</v>
      </c>
      <c r="N324" s="206"/>
      <c r="O324" s="296"/>
      <c r="P324" s="296"/>
      <c r="Q324" s="29">
        <f t="shared" si="25"/>
        <v>30973.6</v>
      </c>
    </row>
    <row r="325" spans="1:17" ht="12.75" hidden="1">
      <c r="A325" s="186">
        <v>6</v>
      </c>
      <c r="B325" s="277" t="s">
        <v>5</v>
      </c>
      <c r="C325" s="12"/>
      <c r="D325" s="203"/>
      <c r="E325" s="192">
        <f>3262.5+1920+8500+12600+14900+1350+16639.49</f>
        <v>59171.990000000005</v>
      </c>
      <c r="F325" s="211">
        <f>7261.81+2880.43</f>
        <v>10142.24</v>
      </c>
      <c r="G325" s="211">
        <f>308.03+457.74+777.6+777.6+333.39</f>
        <v>2654.3599999999997</v>
      </c>
      <c r="H325" s="211"/>
      <c r="I325" s="211"/>
      <c r="J325" s="206">
        <f>1297.3+2249.28</f>
        <v>3546.58</v>
      </c>
      <c r="K325" s="206">
        <f>7044.86+207.26</f>
        <v>7252.12</v>
      </c>
      <c r="L325" s="207"/>
      <c r="M325" s="208"/>
      <c r="N325" s="206"/>
      <c r="O325" s="296"/>
      <c r="P325" s="296"/>
      <c r="Q325" s="29">
        <f t="shared" si="25"/>
        <v>82767.29000000001</v>
      </c>
    </row>
    <row r="326" spans="1:17" ht="12.75" hidden="1">
      <c r="A326" s="186">
        <v>7</v>
      </c>
      <c r="B326" s="277" t="s">
        <v>6</v>
      </c>
      <c r="C326" s="12"/>
      <c r="D326" s="203"/>
      <c r="E326" s="192">
        <f>450</f>
        <v>450</v>
      </c>
      <c r="F326" s="211">
        <f>984.77+423.74</f>
        <v>1408.51</v>
      </c>
      <c r="G326" s="190">
        <f>53.7+333.39</f>
        <v>387.09</v>
      </c>
      <c r="H326" s="190"/>
      <c r="I326" s="215"/>
      <c r="J326" s="212"/>
      <c r="K326" s="206">
        <v>1900.34</v>
      </c>
      <c r="L326" s="213"/>
      <c r="M326" s="206"/>
      <c r="N326" s="206"/>
      <c r="O326" s="296"/>
      <c r="P326" s="296"/>
      <c r="Q326" s="29">
        <f aca="true" t="shared" si="26" ref="Q326:Q350">SUM(E326:P326)</f>
        <v>4145.94</v>
      </c>
    </row>
    <row r="327" spans="1:17" ht="12.75" hidden="1">
      <c r="A327" s="186">
        <v>8</v>
      </c>
      <c r="B327" s="277" t="s">
        <v>7</v>
      </c>
      <c r="C327" s="12"/>
      <c r="D327" s="203"/>
      <c r="E327" s="192">
        <f>450</f>
        <v>450</v>
      </c>
      <c r="F327" s="211">
        <f>495.69</f>
        <v>495.69</v>
      </c>
      <c r="G327" s="190">
        <f>229+73.52+333.39</f>
        <v>635.91</v>
      </c>
      <c r="H327" s="190"/>
      <c r="I327" s="215"/>
      <c r="J327" s="206">
        <f>442.9</f>
        <v>442.9</v>
      </c>
      <c r="K327" s="206">
        <v>1642.44</v>
      </c>
      <c r="L327" s="213"/>
      <c r="M327" s="212">
        <v>75413.25</v>
      </c>
      <c r="N327" s="205"/>
      <c r="O327" s="296"/>
      <c r="P327" s="296"/>
      <c r="Q327" s="29">
        <f t="shared" si="26"/>
        <v>79080.19</v>
      </c>
    </row>
    <row r="328" spans="1:17" ht="12.75" hidden="1">
      <c r="A328" s="186">
        <v>9</v>
      </c>
      <c r="B328" s="277" t="s">
        <v>8</v>
      </c>
      <c r="C328" s="12"/>
      <c r="D328" s="203"/>
      <c r="E328" s="192">
        <f>450</f>
        <v>450</v>
      </c>
      <c r="F328" s="211">
        <f>1395.65</f>
        <v>1395.65</v>
      </c>
      <c r="G328" s="190">
        <f>63.83+63.83+186.97+333.39</f>
        <v>648.02</v>
      </c>
      <c r="H328" s="190"/>
      <c r="I328" s="211"/>
      <c r="J328" s="212"/>
      <c r="K328" s="206">
        <v>950.17</v>
      </c>
      <c r="L328" s="213"/>
      <c r="M328" s="208"/>
      <c r="N328" s="208"/>
      <c r="O328" s="296"/>
      <c r="P328" s="296"/>
      <c r="Q328" s="29">
        <f t="shared" si="26"/>
        <v>3443.84</v>
      </c>
    </row>
    <row r="329" spans="1:17" ht="12.75" hidden="1">
      <c r="A329" s="186">
        <v>10</v>
      </c>
      <c r="B329" s="277" t="s">
        <v>9</v>
      </c>
      <c r="C329" s="12"/>
      <c r="D329" s="203"/>
      <c r="E329" s="192">
        <f>450+4159.87</f>
        <v>4609.87</v>
      </c>
      <c r="F329" s="211">
        <f>3146.85</f>
        <v>3146.85</v>
      </c>
      <c r="G329" s="190">
        <f>100+100+63.83+777.6+333.39</f>
        <v>1374.8200000000002</v>
      </c>
      <c r="H329" s="190"/>
      <c r="I329" s="215"/>
      <c r="J329" s="212"/>
      <c r="K329" s="206">
        <v>1563.72</v>
      </c>
      <c r="L329" s="213"/>
      <c r="M329" s="208"/>
      <c r="N329" s="208"/>
      <c r="O329" s="296"/>
      <c r="P329" s="296">
        <v>384</v>
      </c>
      <c r="Q329" s="29">
        <f t="shared" si="26"/>
        <v>11079.259999999998</v>
      </c>
    </row>
    <row r="330" spans="1:17" ht="12.75" hidden="1">
      <c r="A330" s="186">
        <v>11</v>
      </c>
      <c r="B330" s="277" t="s">
        <v>10</v>
      </c>
      <c r="C330" s="12"/>
      <c r="D330" s="203"/>
      <c r="E330" s="192">
        <f>450</f>
        <v>450</v>
      </c>
      <c r="F330" s="211">
        <f>1618.53+1513.65</f>
        <v>3132.1800000000003</v>
      </c>
      <c r="G330" s="190">
        <f>139+139+66.47+333.39</f>
        <v>677.86</v>
      </c>
      <c r="H330" s="190"/>
      <c r="I330" s="215"/>
      <c r="J330" s="212"/>
      <c r="K330" s="206">
        <v>146.59</v>
      </c>
      <c r="L330" s="213"/>
      <c r="M330" s="212"/>
      <c r="N330" s="212"/>
      <c r="O330" s="296"/>
      <c r="P330" s="296"/>
      <c r="Q330" s="29">
        <f t="shared" si="26"/>
        <v>4406.63</v>
      </c>
    </row>
    <row r="331" spans="1:17" ht="12.75" hidden="1">
      <c r="A331" s="186">
        <v>12</v>
      </c>
      <c r="B331" s="277" t="s">
        <v>11</v>
      </c>
      <c r="C331" s="12"/>
      <c r="D331" s="203"/>
      <c r="E331" s="192"/>
      <c r="F331" s="211"/>
      <c r="G331" s="190"/>
      <c r="H331" s="190"/>
      <c r="I331" s="215"/>
      <c r="J331" s="212"/>
      <c r="K331" s="206"/>
      <c r="L331" s="207"/>
      <c r="M331" s="205"/>
      <c r="N331" s="205"/>
      <c r="O331" s="296"/>
      <c r="P331" s="296"/>
      <c r="Q331" s="29">
        <f t="shared" si="26"/>
        <v>0</v>
      </c>
    </row>
    <row r="332" spans="1:17" ht="12.75" hidden="1">
      <c r="A332" s="186">
        <v>13</v>
      </c>
      <c r="B332" s="277" t="s">
        <v>13</v>
      </c>
      <c r="C332" s="12"/>
      <c r="D332" s="203"/>
      <c r="E332" s="192">
        <f>1043.28+450</f>
        <v>1493.28</v>
      </c>
      <c r="F332" s="211">
        <f>696.58</f>
        <v>696.58</v>
      </c>
      <c r="G332" s="190">
        <f>815.04+480.29+2297.4+38.29+333.39</f>
        <v>3964.41</v>
      </c>
      <c r="H332" s="190"/>
      <c r="I332" s="215"/>
      <c r="J332" s="212"/>
      <c r="K332" s="206">
        <v>895.89</v>
      </c>
      <c r="L332" s="213"/>
      <c r="M332" s="212"/>
      <c r="N332" s="212"/>
      <c r="O332" s="296"/>
      <c r="P332" s="296"/>
      <c r="Q332" s="29">
        <f t="shared" si="26"/>
        <v>7050.160000000001</v>
      </c>
    </row>
    <row r="333" spans="1:17" ht="12.75" hidden="1">
      <c r="A333" s="186">
        <v>14</v>
      </c>
      <c r="B333" s="277" t="s">
        <v>14</v>
      </c>
      <c r="C333" s="12"/>
      <c r="D333" s="203"/>
      <c r="E333" s="192">
        <f>9950+450+2599.92</f>
        <v>12999.92</v>
      </c>
      <c r="F333" s="211">
        <f>1488.2+162.43</f>
        <v>1650.63</v>
      </c>
      <c r="G333" s="190">
        <f>63.83+777.6+333.39</f>
        <v>1174.8200000000002</v>
      </c>
      <c r="H333" s="190"/>
      <c r="I333" s="215"/>
      <c r="J333" s="206">
        <v>266.6</v>
      </c>
      <c r="K333" s="206">
        <v>996.32</v>
      </c>
      <c r="L333" s="213"/>
      <c r="M333" s="206">
        <v>37782.8</v>
      </c>
      <c r="N333" s="212"/>
      <c r="O333" s="296"/>
      <c r="P333" s="296"/>
      <c r="Q333" s="29">
        <f t="shared" si="26"/>
        <v>54871.090000000004</v>
      </c>
    </row>
    <row r="334" spans="1:17" ht="12.75" hidden="1">
      <c r="A334" s="186">
        <v>15</v>
      </c>
      <c r="B334" s="277" t="s">
        <v>15</v>
      </c>
      <c r="C334" s="12"/>
      <c r="D334" s="203"/>
      <c r="E334" s="192">
        <f>450</f>
        <v>450</v>
      </c>
      <c r="F334" s="211">
        <f>871.51</f>
        <v>871.51</v>
      </c>
      <c r="G334" s="190">
        <f>139+139+63.83+333.39</f>
        <v>675.22</v>
      </c>
      <c r="H334" s="190"/>
      <c r="I334" s="215"/>
      <c r="J334" s="212"/>
      <c r="K334" s="206">
        <v>496.8</v>
      </c>
      <c r="L334" s="213"/>
      <c r="M334" s="212"/>
      <c r="N334" s="212"/>
      <c r="O334" s="296"/>
      <c r="P334" s="296"/>
      <c r="Q334" s="29">
        <f t="shared" si="26"/>
        <v>2493.53</v>
      </c>
    </row>
    <row r="335" spans="1:17" ht="12.75" hidden="1">
      <c r="A335" s="186">
        <v>16</v>
      </c>
      <c r="B335" s="277" t="s">
        <v>16</v>
      </c>
      <c r="C335" s="12"/>
      <c r="D335" s="203"/>
      <c r="E335" s="192"/>
      <c r="F335" s="211"/>
      <c r="G335" s="190"/>
      <c r="H335" s="190"/>
      <c r="I335" s="211"/>
      <c r="J335" s="212"/>
      <c r="K335" s="206"/>
      <c r="L335" s="213"/>
      <c r="M335" s="206"/>
      <c r="N335" s="206"/>
      <c r="O335" s="296"/>
      <c r="P335" s="296"/>
      <c r="Q335" s="29">
        <f t="shared" si="26"/>
        <v>0</v>
      </c>
    </row>
    <row r="336" spans="1:17" ht="12.75" hidden="1">
      <c r="A336" s="186">
        <v>17</v>
      </c>
      <c r="B336" s="277" t="s">
        <v>17</v>
      </c>
      <c r="C336" s="12"/>
      <c r="D336" s="203"/>
      <c r="E336" s="192">
        <f>450+8839.73</f>
        <v>9289.73</v>
      </c>
      <c r="F336" s="211">
        <f>1016.43</f>
        <v>1016.43</v>
      </c>
      <c r="G336" s="190">
        <f>100+100+63.83+777.6+333.39</f>
        <v>1374.8200000000002</v>
      </c>
      <c r="H336" s="190"/>
      <c r="I336" s="211"/>
      <c r="J336" s="212"/>
      <c r="K336" s="206">
        <v>933.9</v>
      </c>
      <c r="L336" s="213"/>
      <c r="M336" s="212"/>
      <c r="N336" s="212"/>
      <c r="O336" s="296"/>
      <c r="P336" s="296"/>
      <c r="Q336" s="29">
        <f t="shared" si="26"/>
        <v>12614.88</v>
      </c>
    </row>
    <row r="337" spans="1:17" ht="12.75" hidden="1">
      <c r="A337" s="186">
        <v>18</v>
      </c>
      <c r="B337" s="277" t="s">
        <v>18</v>
      </c>
      <c r="C337" s="12"/>
      <c r="D337" s="203"/>
      <c r="E337" s="192">
        <f>450</f>
        <v>450</v>
      </c>
      <c r="F337" s="211">
        <f>1138.76+385.8</f>
        <v>1524.56</v>
      </c>
      <c r="G337" s="190">
        <f>2236+67.15+153.97+333.39+0.03</f>
        <v>2790.54</v>
      </c>
      <c r="H337" s="190"/>
      <c r="I337" s="211"/>
      <c r="J337" s="206"/>
      <c r="K337" s="206">
        <v>1083.2</v>
      </c>
      <c r="L337" s="207"/>
      <c r="M337" s="206"/>
      <c r="N337" s="206"/>
      <c r="O337" s="296"/>
      <c r="P337" s="296"/>
      <c r="Q337" s="29">
        <f t="shared" si="26"/>
        <v>5848.3</v>
      </c>
    </row>
    <row r="338" spans="1:17" ht="12.75" hidden="1">
      <c r="A338" s="186">
        <v>19</v>
      </c>
      <c r="B338" s="277" t="s">
        <v>19</v>
      </c>
      <c r="C338" s="12"/>
      <c r="D338" s="203"/>
      <c r="E338" s="192">
        <f>450</f>
        <v>450</v>
      </c>
      <c r="F338" s="211">
        <f>1965.21+353.91</f>
        <v>2319.12</v>
      </c>
      <c r="G338" s="190">
        <f>63.83+333.39</f>
        <v>397.21999999999997</v>
      </c>
      <c r="H338" s="190"/>
      <c r="I338" s="211"/>
      <c r="J338" s="212"/>
      <c r="K338" s="206">
        <v>477.8</v>
      </c>
      <c r="L338" s="213"/>
      <c r="M338" s="206">
        <f>58197.7</f>
        <v>58197.7</v>
      </c>
      <c r="N338" s="206"/>
      <c r="O338" s="296"/>
      <c r="P338" s="296"/>
      <c r="Q338" s="29">
        <f t="shared" si="26"/>
        <v>61841.84</v>
      </c>
    </row>
    <row r="339" spans="1:17" ht="12.75" hidden="1">
      <c r="A339" s="186">
        <v>20</v>
      </c>
      <c r="B339" s="277" t="s">
        <v>20</v>
      </c>
      <c r="C339" s="46"/>
      <c r="D339" s="204"/>
      <c r="E339" s="192">
        <f>1768.5+450</f>
        <v>2218.5</v>
      </c>
      <c r="F339" s="211"/>
      <c r="G339" s="190">
        <f>333.39</f>
        <v>333.39</v>
      </c>
      <c r="H339" s="190"/>
      <c r="I339" s="215"/>
      <c r="J339" s="205"/>
      <c r="K339" s="206">
        <v>271.48</v>
      </c>
      <c r="L339" s="213"/>
      <c r="M339" s="206"/>
      <c r="N339" s="206"/>
      <c r="O339" s="296"/>
      <c r="P339" s="296"/>
      <c r="Q339" s="29">
        <f t="shared" si="26"/>
        <v>2823.37</v>
      </c>
    </row>
    <row r="340" spans="1:17" ht="12.75" hidden="1">
      <c r="A340" s="186">
        <v>21</v>
      </c>
      <c r="B340" s="277" t="s">
        <v>21</v>
      </c>
      <c r="C340" s="46"/>
      <c r="D340" s="214"/>
      <c r="E340" s="192">
        <f>450</f>
        <v>450</v>
      </c>
      <c r="F340" s="211"/>
      <c r="G340" s="190">
        <f>120+63.83+333.39</f>
        <v>517.22</v>
      </c>
      <c r="H340" s="190"/>
      <c r="I340" s="211"/>
      <c r="J340" s="205"/>
      <c r="K340" s="206">
        <v>2171.83</v>
      </c>
      <c r="L340" s="213"/>
      <c r="M340" s="206"/>
      <c r="N340" s="206"/>
      <c r="O340" s="296"/>
      <c r="P340" s="296"/>
      <c r="Q340" s="29">
        <f t="shared" si="26"/>
        <v>3139.05</v>
      </c>
    </row>
    <row r="341" spans="1:18" ht="12.75" hidden="1">
      <c r="A341" s="186">
        <v>22</v>
      </c>
      <c r="B341" s="277" t="s">
        <v>22</v>
      </c>
      <c r="C341" s="46"/>
      <c r="D341" s="214"/>
      <c r="E341" s="192"/>
      <c r="F341" s="211"/>
      <c r="G341" s="190"/>
      <c r="H341" s="190"/>
      <c r="I341" s="211"/>
      <c r="J341" s="205"/>
      <c r="K341" s="206"/>
      <c r="L341" s="213"/>
      <c r="M341" s="206"/>
      <c r="N341" s="206"/>
      <c r="O341" s="296"/>
      <c r="P341" s="296"/>
      <c r="Q341" s="29">
        <f t="shared" si="26"/>
        <v>0</v>
      </c>
      <c r="R341" s="299"/>
    </row>
    <row r="342" spans="1:17" ht="12.75" hidden="1">
      <c r="A342" s="186">
        <v>23</v>
      </c>
      <c r="B342" s="277" t="s">
        <v>23</v>
      </c>
      <c r="C342" s="46"/>
      <c r="D342" s="214"/>
      <c r="E342" s="192">
        <f>450</f>
        <v>450</v>
      </c>
      <c r="F342" s="211">
        <f>1185.67+285.27</f>
        <v>1470.94</v>
      </c>
      <c r="G342" s="190">
        <f>76.85+153.97+333.39</f>
        <v>564.21</v>
      </c>
      <c r="H342" s="190"/>
      <c r="I342" s="215"/>
      <c r="J342" s="205"/>
      <c r="K342" s="206">
        <v>1357.4</v>
      </c>
      <c r="L342" s="213"/>
      <c r="M342" s="206"/>
      <c r="N342" s="206"/>
      <c r="O342" s="296"/>
      <c r="P342" s="296"/>
      <c r="Q342" s="29">
        <f t="shared" si="26"/>
        <v>3842.55</v>
      </c>
    </row>
    <row r="343" spans="1:17" ht="12.75" hidden="1">
      <c r="A343" s="186">
        <v>24</v>
      </c>
      <c r="B343" s="277" t="s">
        <v>24</v>
      </c>
      <c r="C343" s="46"/>
      <c r="D343" s="214"/>
      <c r="E343" s="192"/>
      <c r="F343" s="211"/>
      <c r="G343" s="216"/>
      <c r="H343" s="216"/>
      <c r="I343" s="216"/>
      <c r="J343" s="205"/>
      <c r="K343" s="206"/>
      <c r="L343" s="205"/>
      <c r="M343" s="206"/>
      <c r="N343" s="206"/>
      <c r="O343" s="296"/>
      <c r="P343" s="296"/>
      <c r="Q343" s="29">
        <f t="shared" si="26"/>
        <v>0</v>
      </c>
    </row>
    <row r="344" spans="1:17" ht="12.75" hidden="1">
      <c r="A344" s="186">
        <v>25</v>
      </c>
      <c r="B344" s="277" t="s">
        <v>25</v>
      </c>
      <c r="C344" s="46"/>
      <c r="D344" s="214"/>
      <c r="E344" s="192"/>
      <c r="F344" s="211"/>
      <c r="G344" s="215"/>
      <c r="H344" s="215"/>
      <c r="I344" s="216"/>
      <c r="J344" s="205"/>
      <c r="K344" s="206">
        <v>13.57</v>
      </c>
      <c r="L344" s="205"/>
      <c r="M344" s="206"/>
      <c r="N344" s="206"/>
      <c r="O344" s="296"/>
      <c r="P344" s="296"/>
      <c r="Q344" s="29">
        <f t="shared" si="26"/>
        <v>13.57</v>
      </c>
    </row>
    <row r="345" spans="1:17" ht="12.75" hidden="1">
      <c r="A345" s="186">
        <v>26</v>
      </c>
      <c r="B345" s="277" t="s">
        <v>26</v>
      </c>
      <c r="C345" s="46"/>
      <c r="D345" s="214"/>
      <c r="E345" s="192">
        <f>450</f>
        <v>450</v>
      </c>
      <c r="F345" s="211"/>
      <c r="G345" s="216"/>
      <c r="H345" s="216"/>
      <c r="I345" s="216"/>
      <c r="J345" s="205"/>
      <c r="K345" s="206">
        <v>40.72</v>
      </c>
      <c r="L345" s="205"/>
      <c r="M345" s="206"/>
      <c r="N345" s="206"/>
      <c r="O345" s="296"/>
      <c r="P345" s="296"/>
      <c r="Q345" s="29">
        <f t="shared" si="26"/>
        <v>490.72</v>
      </c>
    </row>
    <row r="346" spans="1:17" ht="12.75" hidden="1">
      <c r="A346" s="186">
        <v>27</v>
      </c>
      <c r="B346" s="277" t="s">
        <v>27</v>
      </c>
      <c r="C346" s="46"/>
      <c r="D346" s="214"/>
      <c r="E346" s="192">
        <f>190*1.2</f>
        <v>228</v>
      </c>
      <c r="F346" s="211"/>
      <c r="G346" s="216"/>
      <c r="H346" s="216"/>
      <c r="I346" s="216"/>
      <c r="J346" s="205"/>
      <c r="K346" s="206">
        <v>114.04</v>
      </c>
      <c r="L346" s="212"/>
      <c r="M346" s="206"/>
      <c r="N346" s="206"/>
      <c r="O346" s="296"/>
      <c r="P346" s="296"/>
      <c r="Q346" s="29">
        <f t="shared" si="26"/>
        <v>342.04</v>
      </c>
    </row>
    <row r="347" spans="1:17" ht="12.75" hidden="1">
      <c r="A347" s="186">
        <v>28</v>
      </c>
      <c r="B347" s="277" t="s">
        <v>28</v>
      </c>
      <c r="C347" s="46"/>
      <c r="D347" s="214"/>
      <c r="E347" s="192">
        <f>450</f>
        <v>450</v>
      </c>
      <c r="F347" s="211"/>
      <c r="G347" s="216"/>
      <c r="H347" s="216"/>
      <c r="I347" s="216"/>
      <c r="J347" s="205"/>
      <c r="K347" s="206">
        <v>57.01</v>
      </c>
      <c r="L347" s="205"/>
      <c r="M347" s="206"/>
      <c r="N347" s="206"/>
      <c r="O347" s="296"/>
      <c r="P347" s="296"/>
      <c r="Q347" s="29">
        <f t="shared" si="26"/>
        <v>507.01</v>
      </c>
    </row>
    <row r="348" spans="1:17" ht="12.75" hidden="1">
      <c r="A348" s="186">
        <v>29</v>
      </c>
      <c r="B348" s="277" t="s">
        <v>29</v>
      </c>
      <c r="C348" s="46"/>
      <c r="D348" s="214"/>
      <c r="E348" s="192">
        <f>450</f>
        <v>450</v>
      </c>
      <c r="F348" s="211"/>
      <c r="G348" s="233"/>
      <c r="H348" s="233"/>
      <c r="I348" s="233"/>
      <c r="J348" s="205"/>
      <c r="K348" s="206">
        <v>59.72</v>
      </c>
      <c r="L348" s="205"/>
      <c r="M348" s="212"/>
      <c r="N348" s="212"/>
      <c r="O348" s="296"/>
      <c r="P348" s="296"/>
      <c r="Q348" s="29">
        <f t="shared" si="26"/>
        <v>509.72</v>
      </c>
    </row>
    <row r="349" spans="1:17" ht="12.75" hidden="1">
      <c r="A349" s="186">
        <v>30</v>
      </c>
      <c r="B349" s="277" t="s">
        <v>36</v>
      </c>
      <c r="C349" s="46"/>
      <c r="D349" s="214"/>
      <c r="E349" s="211"/>
      <c r="F349" s="211"/>
      <c r="G349" s="211"/>
      <c r="H349" s="211"/>
      <c r="I349" s="234"/>
      <c r="J349" s="205"/>
      <c r="K349" s="206"/>
      <c r="L349" s="234"/>
      <c r="M349" s="212"/>
      <c r="N349" s="212"/>
      <c r="O349" s="296"/>
      <c r="P349" s="296"/>
      <c r="Q349" s="29">
        <f t="shared" si="26"/>
        <v>0</v>
      </c>
    </row>
    <row r="350" spans="1:17" ht="13.5" hidden="1" thickBot="1">
      <c r="A350" s="186">
        <v>31</v>
      </c>
      <c r="B350" s="278" t="s">
        <v>32</v>
      </c>
      <c r="C350" s="60"/>
      <c r="D350" s="219"/>
      <c r="E350" s="192"/>
      <c r="F350" s="220"/>
      <c r="G350" s="220">
        <f>63.83</f>
        <v>63.83</v>
      </c>
      <c r="H350" s="220"/>
      <c r="I350" s="235"/>
      <c r="J350" s="223"/>
      <c r="K350" s="224"/>
      <c r="L350" s="235"/>
      <c r="M350" s="223"/>
      <c r="N350" s="223"/>
      <c r="O350" s="297"/>
      <c r="P350" s="297"/>
      <c r="Q350" s="29">
        <f t="shared" si="26"/>
        <v>63.83</v>
      </c>
    </row>
    <row r="351" spans="2:17" ht="13.5" hidden="1" thickBot="1">
      <c r="B351" s="48" t="s">
        <v>12</v>
      </c>
      <c r="C351" s="48">
        <f>SUM(C339:C350)</f>
        <v>0</v>
      </c>
      <c r="D351" s="48">
        <f>SUM(D339:D350)</f>
        <v>0</v>
      </c>
      <c r="E351" s="183">
        <f>SUM(E320:E349)+E350</f>
        <v>111831</v>
      </c>
      <c r="F351" s="184">
        <f>SUM(F320:F349)</f>
        <v>39220.08</v>
      </c>
      <c r="G351" s="184">
        <f aca="true" t="shared" si="27" ref="G351:L351">SUM(G320:G349)+G350</f>
        <v>22322.820000000003</v>
      </c>
      <c r="H351" s="184">
        <f t="shared" si="27"/>
        <v>0</v>
      </c>
      <c r="I351" s="184">
        <f t="shared" si="27"/>
        <v>0</v>
      </c>
      <c r="J351" s="184">
        <f t="shared" si="27"/>
        <v>4256.08</v>
      </c>
      <c r="K351" s="184">
        <f t="shared" si="27"/>
        <v>27797.620000000006</v>
      </c>
      <c r="L351" s="184">
        <f t="shared" si="27"/>
        <v>0</v>
      </c>
      <c r="M351" s="193">
        <f>SUM(M320:M349)</f>
        <v>210395.35000000003</v>
      </c>
      <c r="N351" s="193">
        <f>SUM(N320:N349)</f>
        <v>0</v>
      </c>
      <c r="O351" s="193">
        <f>SUM(O320:O349)+O350</f>
        <v>0</v>
      </c>
      <c r="P351" s="193">
        <f>SUM(P320:P349)</f>
        <v>384</v>
      </c>
      <c r="Q351" s="19">
        <f>SUM(Q320:Q349)+Q350</f>
        <v>416206.95</v>
      </c>
    </row>
    <row r="352" spans="2:17" ht="13.5" hidden="1" thickBot="1">
      <c r="B352" s="61"/>
      <c r="C352" s="59">
        <v>2110</v>
      </c>
      <c r="D352" s="59">
        <v>2111</v>
      </c>
      <c r="E352" s="322">
        <v>2210</v>
      </c>
      <c r="F352" s="323">
        <v>2230</v>
      </c>
      <c r="G352" s="323">
        <v>2240</v>
      </c>
      <c r="H352" s="323">
        <v>2250</v>
      </c>
      <c r="I352" s="323">
        <v>2271</v>
      </c>
      <c r="J352" s="324">
        <v>2272</v>
      </c>
      <c r="K352" s="324">
        <v>2273</v>
      </c>
      <c r="L352" s="323">
        <v>2274</v>
      </c>
      <c r="M352" s="323">
        <v>2275</v>
      </c>
      <c r="N352" s="323">
        <v>2800</v>
      </c>
      <c r="O352" s="314">
        <v>2730</v>
      </c>
      <c r="P352" s="311">
        <v>2282</v>
      </c>
      <c r="Q352" s="19">
        <f>E351+F351+G351+I351+J351+K351+L351+M351+N351+O351+P351+H351</f>
        <v>416206.95000000007</v>
      </c>
    </row>
    <row r="353" spans="2:17" ht="15" hidden="1">
      <c r="B353" s="51"/>
      <c r="C353" s="51"/>
      <c r="D353" s="51"/>
      <c r="E353" s="145">
        <v>264296.28</v>
      </c>
      <c r="F353" s="145">
        <v>39220.08</v>
      </c>
      <c r="G353" s="145">
        <f>21989.08+333.74</f>
        <v>22322.820000000003</v>
      </c>
      <c r="H353" s="145">
        <v>0</v>
      </c>
      <c r="I353" s="145">
        <v>0</v>
      </c>
      <c r="J353" s="227">
        <v>4256.08</v>
      </c>
      <c r="K353" s="227">
        <v>27202.37</v>
      </c>
      <c r="L353" s="145">
        <v>0</v>
      </c>
      <c r="M353" s="145">
        <v>210395.35</v>
      </c>
      <c r="N353" s="145">
        <v>0</v>
      </c>
      <c r="O353" s="227">
        <v>0</v>
      </c>
      <c r="P353" s="227">
        <v>384</v>
      </c>
      <c r="Q353" s="141">
        <f>SUM(E353:P353)</f>
        <v>568076.9800000001</v>
      </c>
    </row>
    <row r="354" spans="2:17" ht="15.75" hidden="1">
      <c r="B354" s="249" t="s">
        <v>12</v>
      </c>
      <c r="C354" s="65"/>
      <c r="D354" s="65"/>
      <c r="E354" s="294">
        <f aca="true" t="shared" si="28" ref="E354:O354">SUM(E353)</f>
        <v>264296.28</v>
      </c>
      <c r="F354" s="294">
        <f t="shared" si="28"/>
        <v>39220.08</v>
      </c>
      <c r="G354" s="294">
        <f t="shared" si="28"/>
        <v>22322.820000000003</v>
      </c>
      <c r="H354" s="294">
        <f t="shared" si="28"/>
        <v>0</v>
      </c>
      <c r="I354" s="294">
        <f t="shared" si="28"/>
        <v>0</v>
      </c>
      <c r="J354" s="294">
        <f t="shared" si="28"/>
        <v>4256.08</v>
      </c>
      <c r="K354" s="294">
        <f>SUM(K353)</f>
        <v>27202.37</v>
      </c>
      <c r="L354" s="294">
        <f t="shared" si="28"/>
        <v>0</v>
      </c>
      <c r="M354" s="294">
        <f t="shared" si="28"/>
        <v>210395.35</v>
      </c>
      <c r="N354" s="294">
        <f t="shared" si="28"/>
        <v>0</v>
      </c>
      <c r="O354" s="294">
        <f t="shared" si="28"/>
        <v>0</v>
      </c>
      <c r="P354" s="294">
        <f>SUM(P353)</f>
        <v>384</v>
      </c>
      <c r="Q354" s="294">
        <f>SUM(E354:P354)</f>
        <v>568076.9800000001</v>
      </c>
    </row>
    <row r="355" spans="2:17" ht="15.75" hidden="1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2:17" ht="15.75" hidden="1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2:17" ht="15.75" hidden="1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2:17" ht="15.75" hidden="1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2:17" ht="15.75" hidden="1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2:17" ht="15.75" hidden="1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2:17" ht="15.75" hidden="1" thickBot="1">
      <c r="B361" s="361" t="s">
        <v>48</v>
      </c>
      <c r="C361" s="361"/>
      <c r="D361" s="361"/>
      <c r="E361" s="361"/>
      <c r="F361" s="361"/>
      <c r="G361" s="361"/>
      <c r="H361" s="361"/>
      <c r="I361" s="361"/>
      <c r="J361" s="361"/>
      <c r="K361" s="361"/>
      <c r="L361" s="361"/>
      <c r="M361" s="361"/>
      <c r="N361" s="361"/>
      <c r="O361" s="361"/>
      <c r="P361" s="361"/>
      <c r="Q361" s="361"/>
    </row>
    <row r="362" spans="2:17" ht="13.5" hidden="1" thickBot="1">
      <c r="B362" s="18" t="s">
        <v>31</v>
      </c>
      <c r="C362" s="158">
        <v>2110</v>
      </c>
      <c r="D362" s="158">
        <v>2111</v>
      </c>
      <c r="E362" s="159">
        <v>2210</v>
      </c>
      <c r="F362" s="92">
        <v>2230</v>
      </c>
      <c r="G362" s="92">
        <v>2240</v>
      </c>
      <c r="H362" s="92">
        <v>2250</v>
      </c>
      <c r="I362" s="92">
        <v>2271</v>
      </c>
      <c r="J362" s="11">
        <v>2272</v>
      </c>
      <c r="K362" s="11">
        <v>2273</v>
      </c>
      <c r="L362" s="93">
        <v>2274</v>
      </c>
      <c r="M362" s="93">
        <v>2275</v>
      </c>
      <c r="N362" s="93">
        <v>2800</v>
      </c>
      <c r="O362" s="93">
        <v>2730</v>
      </c>
      <c r="P362" s="11">
        <v>2282</v>
      </c>
      <c r="Q362" s="173" t="s">
        <v>30</v>
      </c>
    </row>
    <row r="363" spans="1:17" ht="12.75" hidden="1">
      <c r="A363" s="186">
        <v>1</v>
      </c>
      <c r="B363" s="276" t="s">
        <v>0</v>
      </c>
      <c r="C363" s="152"/>
      <c r="D363" s="68"/>
      <c r="E363" s="79">
        <f>5000+833.32+4950+700+8650+(5633.16*1.2)</f>
        <v>26893.112</v>
      </c>
      <c r="F363" s="66">
        <f>1667.5+497.48</f>
        <v>2164.98</v>
      </c>
      <c r="G363" s="66">
        <f>63.83+99+139+225.01</f>
        <v>526.8399999999999</v>
      </c>
      <c r="H363" s="66"/>
      <c r="I363" s="67"/>
      <c r="J363" s="37"/>
      <c r="K363" s="20">
        <v>1059.43</v>
      </c>
      <c r="L363" s="37"/>
      <c r="M363" s="20"/>
      <c r="N363" s="20"/>
      <c r="O363" s="107"/>
      <c r="P363" s="99"/>
      <c r="Q363" s="23">
        <f aca="true" t="shared" si="29" ref="Q363:Q368">SUM(E363:P363)</f>
        <v>30644.362</v>
      </c>
    </row>
    <row r="364" spans="1:17" ht="12.75" hidden="1">
      <c r="A364" s="186">
        <v>2</v>
      </c>
      <c r="B364" s="277" t="s">
        <v>1</v>
      </c>
      <c r="C364" s="153"/>
      <c r="D364" s="72"/>
      <c r="E364" s="80">
        <f>416.66+4950+700+7250+(4861.56*1.2)</f>
        <v>19150.532</v>
      </c>
      <c r="F364" s="69">
        <f>2534+939.12</f>
        <v>3473.12</v>
      </c>
      <c r="G364" s="71">
        <f>63.83+135+3164.4+2297.4+480.29+1164.55+290+225.01</f>
        <v>7820.4800000000005</v>
      </c>
      <c r="H364" s="71"/>
      <c r="I364" s="70"/>
      <c r="J364" s="3"/>
      <c r="K364" s="206">
        <v>2666.2</v>
      </c>
      <c r="L364" s="21"/>
      <c r="M364" s="4"/>
      <c r="N364" s="4"/>
      <c r="O364" s="116"/>
      <c r="P364" s="100"/>
      <c r="Q364" s="29">
        <f t="shared" si="29"/>
        <v>33110.331999999995</v>
      </c>
    </row>
    <row r="365" spans="1:17" ht="12.75" hidden="1">
      <c r="A365" s="186">
        <v>3</v>
      </c>
      <c r="B365" s="277" t="s">
        <v>2</v>
      </c>
      <c r="C365" s="153"/>
      <c r="D365" s="72"/>
      <c r="E365" s="80"/>
      <c r="F365" s="69"/>
      <c r="G365" s="71">
        <f>2.12+2.24</f>
        <v>4.36</v>
      </c>
      <c r="H365" s="71"/>
      <c r="I365" s="69"/>
      <c r="J365" s="3"/>
      <c r="K365" s="206"/>
      <c r="L365" s="21"/>
      <c r="M365" s="21"/>
      <c r="N365" s="21"/>
      <c r="O365" s="116"/>
      <c r="P365" s="100"/>
      <c r="Q365" s="29">
        <f t="shared" si="29"/>
        <v>4.36</v>
      </c>
    </row>
    <row r="366" spans="1:17" ht="12.75" hidden="1">
      <c r="A366" s="186">
        <v>4</v>
      </c>
      <c r="B366" s="277" t="s">
        <v>3</v>
      </c>
      <c r="C366" s="153"/>
      <c r="D366" s="72"/>
      <c r="E366" s="80">
        <f>4950+700+7250</f>
        <v>12900</v>
      </c>
      <c r="F366" s="69">
        <v>3001.85</v>
      </c>
      <c r="G366" s="71">
        <f>63.83+149+894.66+4997.02+2523.6+1664.55+290+225.01</f>
        <v>10807.67</v>
      </c>
      <c r="H366" s="71"/>
      <c r="I366" s="70"/>
      <c r="J366" s="3"/>
      <c r="K366" s="206">
        <v>2316.67</v>
      </c>
      <c r="L366" s="21">
        <v>103.8</v>
      </c>
      <c r="M366" s="21"/>
      <c r="N366" s="21"/>
      <c r="O366" s="116"/>
      <c r="P366" s="100"/>
      <c r="Q366" s="29">
        <f t="shared" si="29"/>
        <v>29129.99</v>
      </c>
    </row>
    <row r="367" spans="1:17" ht="12.75" hidden="1">
      <c r="A367" s="186">
        <v>5</v>
      </c>
      <c r="B367" s="277" t="s">
        <v>4</v>
      </c>
      <c r="C367" s="153"/>
      <c r="D367" s="72"/>
      <c r="E367" s="80">
        <f>4950+700+8650</f>
        <v>14300</v>
      </c>
      <c r="F367" s="69">
        <v>168.12</v>
      </c>
      <c r="G367" s="71">
        <f>63.83+225.01</f>
        <v>288.84</v>
      </c>
      <c r="H367" s="71"/>
      <c r="I367" s="69"/>
      <c r="J367" s="3"/>
      <c r="K367" s="206">
        <v>685.51</v>
      </c>
      <c r="L367" s="21"/>
      <c r="M367" s="21"/>
      <c r="N367" s="21"/>
      <c r="O367" s="116"/>
      <c r="P367" s="100"/>
      <c r="Q367" s="29">
        <f t="shared" si="29"/>
        <v>15442.470000000001</v>
      </c>
    </row>
    <row r="368" spans="1:17" ht="12.75" customHeight="1" hidden="1">
      <c r="A368" s="186">
        <v>6</v>
      </c>
      <c r="B368" s="277" t="s">
        <v>5</v>
      </c>
      <c r="C368" s="153"/>
      <c r="D368" s="72"/>
      <c r="E368" s="80">
        <f>31.5+(416.66*12)+4950+700+36650+12999.47</f>
        <v>60330.89</v>
      </c>
      <c r="F368" s="69">
        <f>8779.51+2935.17</f>
        <v>11714.68</v>
      </c>
      <c r="G368" s="69">
        <f>308.03+455.14+225.01</f>
        <v>988.18</v>
      </c>
      <c r="H368" s="69"/>
      <c r="I368" s="69">
        <v>71573.64</v>
      </c>
      <c r="J368" s="21">
        <f>1582.31+2743.44</f>
        <v>4325.75</v>
      </c>
      <c r="K368" s="206">
        <f>17636.5+636.53</f>
        <v>18273.03</v>
      </c>
      <c r="L368" s="21"/>
      <c r="M368" s="21"/>
      <c r="N368" s="21"/>
      <c r="O368" s="116"/>
      <c r="P368" s="100"/>
      <c r="Q368" s="29">
        <f t="shared" si="29"/>
        <v>167206.17</v>
      </c>
    </row>
    <row r="369" spans="1:17" ht="12.75" hidden="1">
      <c r="A369" s="186">
        <v>7</v>
      </c>
      <c r="B369" s="277" t="s">
        <v>6</v>
      </c>
      <c r="C369" s="153"/>
      <c r="D369" s="72"/>
      <c r="E369" s="80">
        <f>(416.66*2)+4950+700+7250</f>
        <v>13733.32</v>
      </c>
      <c r="F369" s="69">
        <f>872.47+95.71</f>
        <v>968.1800000000001</v>
      </c>
      <c r="G369" s="71">
        <f>53.7+135.57+225.01</f>
        <v>414.28</v>
      </c>
      <c r="H369" s="71"/>
      <c r="I369" s="69"/>
      <c r="J369" s="21">
        <v>922.5</v>
      </c>
      <c r="K369" s="206">
        <v>4375.93</v>
      </c>
      <c r="L369" s="28"/>
      <c r="M369" s="21">
        <v>35040.5</v>
      </c>
      <c r="N369" s="21"/>
      <c r="O369" s="116"/>
      <c r="P369" s="100"/>
      <c r="Q369" s="29">
        <f aca="true" t="shared" si="30" ref="Q369:Q393">SUM(E369:P369)</f>
        <v>55454.71</v>
      </c>
    </row>
    <row r="370" spans="1:17" ht="12.75" hidden="1">
      <c r="A370" s="186">
        <v>8</v>
      </c>
      <c r="B370" s="277" t="s">
        <v>7</v>
      </c>
      <c r="C370" s="153"/>
      <c r="D370" s="72"/>
      <c r="E370" s="80">
        <f>4950+700+10450</f>
        <v>16100</v>
      </c>
      <c r="F370" s="69">
        <v>354.03</v>
      </c>
      <c r="G370" s="71">
        <f>73.52+229+225.01</f>
        <v>527.53</v>
      </c>
      <c r="H370" s="71"/>
      <c r="I370" s="69"/>
      <c r="J370" s="21">
        <v>442.9</v>
      </c>
      <c r="K370" s="206">
        <v>4915.13</v>
      </c>
      <c r="L370" s="28"/>
      <c r="M370" s="21"/>
      <c r="N370" s="21"/>
      <c r="O370" s="116"/>
      <c r="P370" s="100"/>
      <c r="Q370" s="29">
        <f t="shared" si="30"/>
        <v>22339.59</v>
      </c>
    </row>
    <row r="371" spans="1:17" ht="12.75" hidden="1">
      <c r="A371" s="186">
        <v>9</v>
      </c>
      <c r="B371" s="277" t="s">
        <v>8</v>
      </c>
      <c r="C371" s="153"/>
      <c r="D371" s="72"/>
      <c r="E371" s="81">
        <f>4950+700+9850</f>
        <v>15500</v>
      </c>
      <c r="F371" s="69">
        <v>2796.24</v>
      </c>
      <c r="G371" s="71">
        <f>63.83+63.83+182+225.01+300.11</f>
        <v>834.78</v>
      </c>
      <c r="H371" s="71"/>
      <c r="I371" s="69"/>
      <c r="J371" s="21">
        <v>438.6</v>
      </c>
      <c r="K371" s="206">
        <v>3259.58</v>
      </c>
      <c r="L371" s="28"/>
      <c r="M371" s="21"/>
      <c r="N371" s="21"/>
      <c r="O371" s="116"/>
      <c r="P371" s="100"/>
      <c r="Q371" s="29">
        <f t="shared" si="30"/>
        <v>22829.199999999997</v>
      </c>
    </row>
    <row r="372" spans="1:17" ht="12.75" hidden="1">
      <c r="A372" s="186">
        <v>10</v>
      </c>
      <c r="B372" s="277" t="s">
        <v>9</v>
      </c>
      <c r="C372" s="153"/>
      <c r="D372" s="72"/>
      <c r="E372" s="81">
        <f>3000+5600+4950+700+7250+(4026.6*1.2)</f>
        <v>26331.92</v>
      </c>
      <c r="F372" s="69">
        <v>3701.62</v>
      </c>
      <c r="G372" s="71">
        <f>63.83+100+3164.4+1664.55+290+225.01</f>
        <v>5507.79</v>
      </c>
      <c r="H372" s="71"/>
      <c r="I372" s="69"/>
      <c r="J372" s="3"/>
      <c r="K372" s="206">
        <v>4031.82</v>
      </c>
      <c r="L372" s="28"/>
      <c r="M372" s="21"/>
      <c r="N372" s="21"/>
      <c r="O372" s="116"/>
      <c r="P372" s="100"/>
      <c r="Q372" s="29">
        <f t="shared" si="30"/>
        <v>39573.149999999994</v>
      </c>
    </row>
    <row r="373" spans="1:17" ht="12.75" hidden="1">
      <c r="A373" s="186">
        <v>11</v>
      </c>
      <c r="B373" s="277" t="s">
        <v>10</v>
      </c>
      <c r="C373" s="153"/>
      <c r="D373" s="72"/>
      <c r="E373" s="81">
        <f>4950+700+9650</f>
        <v>15300</v>
      </c>
      <c r="F373" s="69">
        <f>2406.88+687.94</f>
        <v>3094.82</v>
      </c>
      <c r="G373" s="71">
        <f>66.47+225.01+200</f>
        <v>491.48</v>
      </c>
      <c r="H373" s="71"/>
      <c r="I373" s="69"/>
      <c r="J373" s="21">
        <v>813.35</v>
      </c>
      <c r="K373" s="206">
        <v>2024.04</v>
      </c>
      <c r="L373" s="28"/>
      <c r="M373" s="21">
        <v>39001.6</v>
      </c>
      <c r="N373" s="21"/>
      <c r="O373" s="116"/>
      <c r="P373" s="100"/>
      <c r="Q373" s="29">
        <f t="shared" si="30"/>
        <v>60725.28999999999</v>
      </c>
    </row>
    <row r="374" spans="1:17" ht="12.75" hidden="1">
      <c r="A374" s="186">
        <v>12</v>
      </c>
      <c r="B374" s="277" t="s">
        <v>11</v>
      </c>
      <c r="C374" s="153"/>
      <c r="D374" s="72"/>
      <c r="E374" s="81"/>
      <c r="F374" s="69"/>
      <c r="G374" s="71">
        <f>2.12</f>
        <v>2.12</v>
      </c>
      <c r="H374" s="71"/>
      <c r="I374" s="72"/>
      <c r="J374" s="28"/>
      <c r="K374" s="206"/>
      <c r="L374" s="21"/>
      <c r="M374" s="21"/>
      <c r="N374" s="21"/>
      <c r="O374" s="116"/>
      <c r="P374" s="116"/>
      <c r="Q374" s="29">
        <f t="shared" si="30"/>
        <v>2.12</v>
      </c>
    </row>
    <row r="375" spans="1:17" ht="12.75" hidden="1">
      <c r="A375" s="186">
        <v>13</v>
      </c>
      <c r="B375" s="277" t="s">
        <v>13</v>
      </c>
      <c r="C375" s="153"/>
      <c r="D375" s="72"/>
      <c r="E375" s="81">
        <f>4950+700</f>
        <v>5650</v>
      </c>
      <c r="F375" s="69">
        <v>814.31</v>
      </c>
      <c r="G375" s="71">
        <f>38.29+3164.4+1664.55+4995.05+290+225.01</f>
        <v>10377.300000000001</v>
      </c>
      <c r="H375" s="71"/>
      <c r="I375" s="69"/>
      <c r="J375" s="3"/>
      <c r="K375" s="206">
        <v>1815.4</v>
      </c>
      <c r="L375" s="28"/>
      <c r="M375" s="21"/>
      <c r="N375" s="21"/>
      <c r="O375" s="116"/>
      <c r="P375" s="100"/>
      <c r="Q375" s="29">
        <f t="shared" si="30"/>
        <v>18657.010000000002</v>
      </c>
    </row>
    <row r="376" spans="1:17" ht="12.75" hidden="1">
      <c r="A376" s="186">
        <v>14</v>
      </c>
      <c r="B376" s="277" t="s">
        <v>14</v>
      </c>
      <c r="C376" s="153"/>
      <c r="D376" s="72"/>
      <c r="E376" s="81">
        <f>(416.66*4)+4950+700+7250+(2166.6*1.2)</f>
        <v>17166.559999999998</v>
      </c>
      <c r="F376" s="69">
        <f>1378.64+167.96</f>
        <v>1546.6000000000001</v>
      </c>
      <c r="G376" s="71">
        <f>63.83+225.01</f>
        <v>288.84</v>
      </c>
      <c r="H376" s="71"/>
      <c r="I376" s="70"/>
      <c r="J376" s="21">
        <v>266.6</v>
      </c>
      <c r="K376" s="206">
        <v>2194.74</v>
      </c>
      <c r="L376" s="28"/>
      <c r="M376" s="21"/>
      <c r="N376" s="21"/>
      <c r="O376" s="116"/>
      <c r="P376" s="100"/>
      <c r="Q376" s="29">
        <f t="shared" si="30"/>
        <v>21463.339999999997</v>
      </c>
    </row>
    <row r="377" spans="1:17" ht="12.75" hidden="1">
      <c r="A377" s="186">
        <v>15</v>
      </c>
      <c r="B377" s="277" t="s">
        <v>15</v>
      </c>
      <c r="C377" s="153"/>
      <c r="D377" s="72"/>
      <c r="E377" s="81">
        <f>284+739+4402+1430+4950+700+6550</f>
        <v>19055</v>
      </c>
      <c r="F377" s="69">
        <v>851.11</v>
      </c>
      <c r="G377" s="71">
        <f>63.83+139+225.01</f>
        <v>427.84</v>
      </c>
      <c r="H377" s="71"/>
      <c r="I377" s="72"/>
      <c r="J377" s="3"/>
      <c r="K377" s="206">
        <v>1181.36</v>
      </c>
      <c r="L377" s="28"/>
      <c r="M377" s="21"/>
      <c r="N377" s="21"/>
      <c r="O377" s="116"/>
      <c r="P377" s="100"/>
      <c r="Q377" s="29">
        <f t="shared" si="30"/>
        <v>21515.31</v>
      </c>
    </row>
    <row r="378" spans="1:17" ht="12.75" hidden="1">
      <c r="A378" s="186">
        <v>16</v>
      </c>
      <c r="B378" s="277" t="s">
        <v>16</v>
      </c>
      <c r="C378" s="153"/>
      <c r="D378" s="72"/>
      <c r="E378" s="81"/>
      <c r="F378" s="69"/>
      <c r="G378" s="71">
        <v>2.12</v>
      </c>
      <c r="H378" s="71"/>
      <c r="I378" s="69"/>
      <c r="J378" s="3"/>
      <c r="K378" s="206"/>
      <c r="L378" s="28"/>
      <c r="M378" s="21"/>
      <c r="N378" s="21"/>
      <c r="O378" s="116"/>
      <c r="P378" s="100"/>
      <c r="Q378" s="29">
        <f t="shared" si="30"/>
        <v>2.12</v>
      </c>
    </row>
    <row r="379" spans="1:17" ht="12.75" hidden="1">
      <c r="A379" s="186">
        <v>17</v>
      </c>
      <c r="B379" s="277" t="s">
        <v>17</v>
      </c>
      <c r="C379" s="153"/>
      <c r="D379" s="72"/>
      <c r="E379" s="192">
        <f>4950+700+7250+(6933.12*1.2)</f>
        <v>21219.744</v>
      </c>
      <c r="F379" s="211">
        <v>1170.39</v>
      </c>
      <c r="G379" s="190">
        <f>63.83+100+225.01</f>
        <v>388.84</v>
      </c>
      <c r="H379" s="190"/>
      <c r="I379" s="211"/>
      <c r="J379" s="205"/>
      <c r="K379" s="206">
        <v>2338.34</v>
      </c>
      <c r="L379" s="212"/>
      <c r="M379" s="206"/>
      <c r="N379" s="206"/>
      <c r="O379" s="116"/>
      <c r="P379" s="100"/>
      <c r="Q379" s="29">
        <f t="shared" si="30"/>
        <v>25117.314</v>
      </c>
    </row>
    <row r="380" spans="1:17" ht="12.75" hidden="1">
      <c r="A380" s="186">
        <v>18</v>
      </c>
      <c r="B380" s="277" t="s">
        <v>18</v>
      </c>
      <c r="C380" s="153"/>
      <c r="D380" s="72"/>
      <c r="E380" s="192">
        <f>4950+700+8650</f>
        <v>14300</v>
      </c>
      <c r="F380" s="211">
        <f>1216.33+316.53</f>
        <v>1532.86</v>
      </c>
      <c r="G380" s="190">
        <f>67.15+149+3164.4+1664.55+290+225.01</f>
        <v>5560.110000000001</v>
      </c>
      <c r="H380" s="190"/>
      <c r="I380" s="211"/>
      <c r="J380" s="212"/>
      <c r="K380" s="206">
        <v>2479.24</v>
      </c>
      <c r="L380" s="206"/>
      <c r="M380" s="206"/>
      <c r="N380" s="206"/>
      <c r="O380" s="116"/>
      <c r="P380" s="100"/>
      <c r="Q380" s="29">
        <f t="shared" si="30"/>
        <v>23872.21</v>
      </c>
    </row>
    <row r="381" spans="1:17" ht="12.75" hidden="1">
      <c r="A381" s="186">
        <v>19</v>
      </c>
      <c r="B381" s="277" t="s">
        <v>19</v>
      </c>
      <c r="C381" s="153"/>
      <c r="D381" s="72"/>
      <c r="E381" s="192">
        <f>3000+7000+(416.66*3)+4950+700+8250</f>
        <v>25149.98</v>
      </c>
      <c r="F381" s="211">
        <f>1559.09+325.02</f>
        <v>1884.11</v>
      </c>
      <c r="G381" s="190">
        <f>63.83+4859.12+2900.63+225.01</f>
        <v>8048.59</v>
      </c>
      <c r="H381" s="190"/>
      <c r="I381" s="211"/>
      <c r="J381" s="206">
        <v>219.3</v>
      </c>
      <c r="K381" s="206">
        <v>1043.18</v>
      </c>
      <c r="L381" s="212"/>
      <c r="M381" s="206"/>
      <c r="N381" s="206"/>
      <c r="O381" s="116"/>
      <c r="P381" s="100"/>
      <c r="Q381" s="29">
        <f t="shared" si="30"/>
        <v>36345.16</v>
      </c>
    </row>
    <row r="382" spans="1:18" ht="12.75" hidden="1">
      <c r="A382" s="186">
        <v>20</v>
      </c>
      <c r="B382" s="277" t="s">
        <v>20</v>
      </c>
      <c r="C382" s="154"/>
      <c r="D382" s="69"/>
      <c r="E382" s="192">
        <f>432+4950+700+6550</f>
        <v>12632</v>
      </c>
      <c r="F382" s="211">
        <v>174.84</v>
      </c>
      <c r="G382" s="190">
        <f>225.01</f>
        <v>225.01</v>
      </c>
      <c r="H382" s="190"/>
      <c r="I382" s="215"/>
      <c r="J382" s="205"/>
      <c r="K382" s="206">
        <v>1110.92</v>
      </c>
      <c r="L382" s="212"/>
      <c r="M382" s="206"/>
      <c r="N382" s="206"/>
      <c r="O382" s="100"/>
      <c r="P382" s="100"/>
      <c r="Q382" s="29">
        <f t="shared" si="30"/>
        <v>14142.77</v>
      </c>
      <c r="R382" s="299"/>
    </row>
    <row r="383" spans="1:17" ht="12.75" hidden="1">
      <c r="A383" s="186">
        <v>21</v>
      </c>
      <c r="B383" s="277" t="s">
        <v>21</v>
      </c>
      <c r="C383" s="154"/>
      <c r="D383" s="70"/>
      <c r="E383" s="192">
        <f>4950+700+7250</f>
        <v>12900</v>
      </c>
      <c r="F383" s="211">
        <v>230.03</v>
      </c>
      <c r="G383" s="190">
        <f>63.83+120+225.01</f>
        <v>408.84</v>
      </c>
      <c r="H383" s="190"/>
      <c r="I383" s="211"/>
      <c r="J383" s="206"/>
      <c r="K383" s="206">
        <v>3164.75</v>
      </c>
      <c r="L383" s="212"/>
      <c r="M383" s="206"/>
      <c r="N383" s="206"/>
      <c r="O383" s="100"/>
      <c r="P383" s="100"/>
      <c r="Q383" s="29">
        <f t="shared" si="30"/>
        <v>16703.620000000003</v>
      </c>
    </row>
    <row r="384" spans="1:17" ht="12.75" hidden="1">
      <c r="A384" s="186">
        <v>22</v>
      </c>
      <c r="B384" s="277" t="s">
        <v>22</v>
      </c>
      <c r="C384" s="154"/>
      <c r="D384" s="70"/>
      <c r="E384" s="192">
        <f>4950+700</f>
        <v>5650</v>
      </c>
      <c r="F384" s="211"/>
      <c r="G384" s="190">
        <v>2.12</v>
      </c>
      <c r="H384" s="190"/>
      <c r="I384" s="211"/>
      <c r="J384" s="205"/>
      <c r="K384" s="206"/>
      <c r="L384" s="212"/>
      <c r="M384" s="206"/>
      <c r="N384" s="206"/>
      <c r="O384" s="100"/>
      <c r="P384" s="100"/>
      <c r="Q384" s="29">
        <f t="shared" si="30"/>
        <v>5652.12</v>
      </c>
    </row>
    <row r="385" spans="1:17" ht="12.75" hidden="1">
      <c r="A385" s="186">
        <v>23</v>
      </c>
      <c r="B385" s="277" t="s">
        <v>23</v>
      </c>
      <c r="C385" s="154"/>
      <c r="D385" s="70"/>
      <c r="E385" s="192">
        <f>4950+700+7250</f>
        <v>12900</v>
      </c>
      <c r="F385" s="211">
        <f>480.75+239.05</f>
        <v>719.8</v>
      </c>
      <c r="G385" s="190">
        <f>76.85+149+3164.4+1664.55+290+225.01</f>
        <v>5569.81</v>
      </c>
      <c r="H385" s="190"/>
      <c r="I385" s="216"/>
      <c r="J385" s="205"/>
      <c r="K385" s="206"/>
      <c r="L385" s="212">
        <v>2925.22</v>
      </c>
      <c r="M385" s="206"/>
      <c r="N385" s="206"/>
      <c r="O385" s="100"/>
      <c r="P385" s="100"/>
      <c r="Q385" s="29">
        <f t="shared" si="30"/>
        <v>22114.83</v>
      </c>
    </row>
    <row r="386" spans="1:17" ht="12.75" hidden="1">
      <c r="A386" s="186">
        <v>24</v>
      </c>
      <c r="B386" s="277" t="s">
        <v>24</v>
      </c>
      <c r="C386" s="154"/>
      <c r="D386" s="70"/>
      <c r="E386" s="192"/>
      <c r="F386" s="211"/>
      <c r="G386" s="216"/>
      <c r="H386" s="216"/>
      <c r="I386" s="216"/>
      <c r="J386" s="205"/>
      <c r="K386" s="206"/>
      <c r="L386" s="205"/>
      <c r="M386" s="206"/>
      <c r="N386" s="206"/>
      <c r="O386" s="100"/>
      <c r="P386" s="100"/>
      <c r="Q386" s="29">
        <f t="shared" si="30"/>
        <v>0</v>
      </c>
    </row>
    <row r="387" spans="1:17" ht="12.75" hidden="1">
      <c r="A387" s="186">
        <v>25</v>
      </c>
      <c r="B387" s="277" t="s">
        <v>25</v>
      </c>
      <c r="C387" s="154"/>
      <c r="D387" s="70"/>
      <c r="E387" s="192">
        <f>4950</f>
        <v>4950</v>
      </c>
      <c r="F387" s="211"/>
      <c r="G387" s="215">
        <f>5012.47+225.01</f>
        <v>5237.4800000000005</v>
      </c>
      <c r="H387" s="215"/>
      <c r="I387" s="216"/>
      <c r="J387" s="205"/>
      <c r="K387" s="206">
        <v>260.12</v>
      </c>
      <c r="L387" s="205"/>
      <c r="M387" s="206">
        <v>13711.5</v>
      </c>
      <c r="N387" s="206"/>
      <c r="O387" s="100"/>
      <c r="P387" s="100"/>
      <c r="Q387" s="29">
        <f t="shared" si="30"/>
        <v>24159.1</v>
      </c>
    </row>
    <row r="388" spans="1:17" ht="12.75" hidden="1">
      <c r="A388" s="186">
        <v>26</v>
      </c>
      <c r="B388" s="277" t="s">
        <v>26</v>
      </c>
      <c r="C388" s="154"/>
      <c r="D388" s="70"/>
      <c r="E388" s="192">
        <f>4950+5650</f>
        <v>10600</v>
      </c>
      <c r="F388" s="211"/>
      <c r="G388" s="215">
        <v>225.01</v>
      </c>
      <c r="H388" s="215"/>
      <c r="I388" s="216"/>
      <c r="J388" s="205"/>
      <c r="K388" s="206">
        <v>65.32</v>
      </c>
      <c r="L388" s="205"/>
      <c r="M388" s="212">
        <v>8379.25</v>
      </c>
      <c r="N388" s="205"/>
      <c r="O388" s="100"/>
      <c r="P388" s="100"/>
      <c r="Q388" s="29">
        <f t="shared" si="30"/>
        <v>19269.58</v>
      </c>
    </row>
    <row r="389" spans="1:17" ht="12.75" hidden="1">
      <c r="A389" s="186">
        <v>27</v>
      </c>
      <c r="B389" s="277" t="s">
        <v>27</v>
      </c>
      <c r="C389" s="154"/>
      <c r="D389" s="70"/>
      <c r="E389" s="192"/>
      <c r="F389" s="211"/>
      <c r="G389" s="215"/>
      <c r="H389" s="215"/>
      <c r="I389" s="216"/>
      <c r="J389" s="205"/>
      <c r="K389" s="206"/>
      <c r="L389" s="212"/>
      <c r="M389" s="212"/>
      <c r="N389" s="205"/>
      <c r="O389" s="100"/>
      <c r="P389" s="100"/>
      <c r="Q389" s="29">
        <f t="shared" si="30"/>
        <v>0</v>
      </c>
    </row>
    <row r="390" spans="1:17" ht="12.75" hidden="1">
      <c r="A390" s="186">
        <v>28</v>
      </c>
      <c r="B390" s="277" t="s">
        <v>28</v>
      </c>
      <c r="C390" s="154"/>
      <c r="D390" s="70"/>
      <c r="E390" s="192">
        <f>4950+5850</f>
        <v>10800</v>
      </c>
      <c r="F390" s="211"/>
      <c r="G390" s="215">
        <v>225.01</v>
      </c>
      <c r="H390" s="215"/>
      <c r="I390" s="216"/>
      <c r="J390" s="205"/>
      <c r="K390" s="206">
        <v>94.82</v>
      </c>
      <c r="L390" s="205"/>
      <c r="M390" s="212">
        <v>8379.25</v>
      </c>
      <c r="N390" s="205"/>
      <c r="O390" s="100"/>
      <c r="P390" s="100"/>
      <c r="Q390" s="29">
        <f t="shared" si="30"/>
        <v>19499.08</v>
      </c>
    </row>
    <row r="391" spans="1:17" ht="12.75" hidden="1">
      <c r="A391" s="186">
        <v>29</v>
      </c>
      <c r="B391" s="277" t="s">
        <v>29</v>
      </c>
      <c r="C391" s="154"/>
      <c r="D391" s="70"/>
      <c r="E391" s="192">
        <f>4950+5850</f>
        <v>10800</v>
      </c>
      <c r="F391" s="211"/>
      <c r="G391" s="215">
        <v>225.01</v>
      </c>
      <c r="H391" s="233"/>
      <c r="I391" s="233"/>
      <c r="J391" s="205"/>
      <c r="K391" s="206">
        <v>113.8</v>
      </c>
      <c r="L391" s="205"/>
      <c r="M391" s="212">
        <v>7541.32</v>
      </c>
      <c r="N391" s="205"/>
      <c r="O391" s="100"/>
      <c r="P391" s="100"/>
      <c r="Q391" s="29">
        <f t="shared" si="30"/>
        <v>18680.129999999997</v>
      </c>
    </row>
    <row r="392" spans="1:17" ht="12.75" hidden="1">
      <c r="A392" s="186">
        <v>30</v>
      </c>
      <c r="B392" s="277" t="s">
        <v>36</v>
      </c>
      <c r="C392" s="154"/>
      <c r="D392" s="70"/>
      <c r="E392" s="215"/>
      <c r="F392" s="211"/>
      <c r="G392" s="211"/>
      <c r="H392" s="211"/>
      <c r="I392" s="234"/>
      <c r="J392" s="205"/>
      <c r="K392" s="206"/>
      <c r="L392" s="234"/>
      <c r="M392" s="212"/>
      <c r="N392" s="205"/>
      <c r="O392" s="100"/>
      <c r="P392" s="100"/>
      <c r="Q392" s="29">
        <f t="shared" si="30"/>
        <v>0</v>
      </c>
    </row>
    <row r="393" spans="1:17" ht="13.5" hidden="1" thickBot="1">
      <c r="A393" s="186">
        <v>31</v>
      </c>
      <c r="B393" s="278" t="s">
        <v>32</v>
      </c>
      <c r="C393" s="155"/>
      <c r="D393" s="82"/>
      <c r="E393" s="220"/>
      <c r="F393" s="220"/>
      <c r="G393" s="301">
        <f>63.83+3164.4+1664.55+1664.55</f>
        <v>6557.33</v>
      </c>
      <c r="H393" s="301"/>
      <c r="I393" s="220"/>
      <c r="J393" s="223"/>
      <c r="K393" s="224"/>
      <c r="L393" s="235"/>
      <c r="M393" s="223"/>
      <c r="N393" s="223"/>
      <c r="O393" s="101"/>
      <c r="P393" s="129">
        <v>330</v>
      </c>
      <c r="Q393" s="169">
        <f t="shared" si="30"/>
        <v>6887.33</v>
      </c>
    </row>
    <row r="394" spans="2:17" ht="13.5" hidden="1" thickBot="1">
      <c r="B394" s="48" t="s">
        <v>12</v>
      </c>
      <c r="C394" s="89">
        <f>SUM(C382:C393)</f>
        <v>0</v>
      </c>
      <c r="D394" s="89">
        <f>SUM(D382:D393)</f>
        <v>0</v>
      </c>
      <c r="E394" s="226">
        <f>SUM(E363:E392)+E393</f>
        <v>404313.05799999996</v>
      </c>
      <c r="F394" s="135">
        <f>SUM(F363:F392)</f>
        <v>40361.689999999995</v>
      </c>
      <c r="G394" s="135">
        <f>SUM(G363:G392)+G393</f>
        <v>71983.61</v>
      </c>
      <c r="H394" s="135">
        <f>SUM(H363:H392)</f>
        <v>0</v>
      </c>
      <c r="I394" s="135">
        <f aca="true" t="shared" si="31" ref="I394:O394">SUM(I363:I392)</f>
        <v>71573.64</v>
      </c>
      <c r="J394" s="135">
        <f t="shared" si="31"/>
        <v>7429.000000000001</v>
      </c>
      <c r="K394" s="135">
        <f t="shared" si="31"/>
        <v>59469.33000000001</v>
      </c>
      <c r="L394" s="135">
        <f t="shared" si="31"/>
        <v>3029.02</v>
      </c>
      <c r="M394" s="142">
        <f t="shared" si="31"/>
        <v>112053.42000000001</v>
      </c>
      <c r="N394" s="142">
        <f t="shared" si="31"/>
        <v>0</v>
      </c>
      <c r="O394" s="142">
        <f t="shared" si="31"/>
        <v>0</v>
      </c>
      <c r="P394" s="142">
        <f>SUM(P363:P392)+P393</f>
        <v>330</v>
      </c>
      <c r="Q394" s="19">
        <f>SUM(Q363:Q392)+Q393</f>
        <v>770542.7679999999</v>
      </c>
    </row>
    <row r="395" spans="2:17" ht="13.5" hidden="1" thickBot="1">
      <c r="B395" s="61"/>
      <c r="C395" s="94">
        <v>2110</v>
      </c>
      <c r="D395" s="94">
        <v>2111</v>
      </c>
      <c r="E395" s="178">
        <v>2210</v>
      </c>
      <c r="F395" s="139">
        <v>2230</v>
      </c>
      <c r="G395" s="139">
        <v>2240</v>
      </c>
      <c r="H395" s="139">
        <v>2250</v>
      </c>
      <c r="I395" s="139">
        <v>2271</v>
      </c>
      <c r="J395" s="140">
        <v>2272</v>
      </c>
      <c r="K395" s="140">
        <v>2273</v>
      </c>
      <c r="L395" s="139">
        <v>2274</v>
      </c>
      <c r="M395" s="139">
        <v>2275</v>
      </c>
      <c r="N395" s="139">
        <v>2800</v>
      </c>
      <c r="O395" s="240">
        <v>2730</v>
      </c>
      <c r="P395" s="241">
        <v>2282</v>
      </c>
      <c r="Q395" s="19">
        <f>E394+F394+G394+I394+J394+K394+L394+M394+N394+O394+P394</f>
        <v>770542.7679999999</v>
      </c>
    </row>
    <row r="396" spans="2:17" ht="15" hidden="1">
      <c r="B396" s="51"/>
      <c r="C396" s="51"/>
      <c r="D396" s="51"/>
      <c r="E396" s="145">
        <f>40918.34+189250</f>
        <v>230168.34</v>
      </c>
      <c r="F396" s="145">
        <v>40361.69</v>
      </c>
      <c r="G396" s="145">
        <v>71983.61</v>
      </c>
      <c r="H396" s="145">
        <v>0</v>
      </c>
      <c r="I396" s="145">
        <v>71573.64</v>
      </c>
      <c r="J396" s="227">
        <v>7429</v>
      </c>
      <c r="K396" s="227">
        <v>60061.58</v>
      </c>
      <c r="L396" s="145">
        <v>8913.05</v>
      </c>
      <c r="M396" s="145">
        <v>112053.42</v>
      </c>
      <c r="N396" s="145">
        <v>0</v>
      </c>
      <c r="O396" s="227">
        <v>0</v>
      </c>
      <c r="P396" s="227">
        <v>330</v>
      </c>
      <c r="Q396" s="141">
        <f>SUM(E396:P396)</f>
        <v>602874.3300000001</v>
      </c>
    </row>
    <row r="397" spans="2:17" ht="15.75" hidden="1">
      <c r="B397" s="249" t="s">
        <v>12</v>
      </c>
      <c r="C397" s="65"/>
      <c r="D397" s="65"/>
      <c r="E397" s="294">
        <f aca="true" t="shared" si="32" ref="E397:P397">SUM(E396)</f>
        <v>230168.34</v>
      </c>
      <c r="F397" s="294">
        <f t="shared" si="32"/>
        <v>40361.69</v>
      </c>
      <c r="G397" s="294">
        <f t="shared" si="32"/>
        <v>71983.61</v>
      </c>
      <c r="H397" s="294">
        <f t="shared" si="32"/>
        <v>0</v>
      </c>
      <c r="I397" s="294">
        <f t="shared" si="32"/>
        <v>71573.64</v>
      </c>
      <c r="J397" s="294">
        <f t="shared" si="32"/>
        <v>7429</v>
      </c>
      <c r="K397" s="294">
        <f t="shared" si="32"/>
        <v>60061.58</v>
      </c>
      <c r="L397" s="294">
        <f t="shared" si="32"/>
        <v>8913.05</v>
      </c>
      <c r="M397" s="294">
        <f t="shared" si="32"/>
        <v>112053.42</v>
      </c>
      <c r="N397" s="294">
        <f t="shared" si="32"/>
        <v>0</v>
      </c>
      <c r="O397" s="294">
        <f t="shared" si="32"/>
        <v>0</v>
      </c>
      <c r="P397" s="294">
        <f t="shared" si="32"/>
        <v>330</v>
      </c>
      <c r="Q397" s="294">
        <f>SUM(E397:P397)</f>
        <v>602874.3300000001</v>
      </c>
    </row>
    <row r="398" spans="2:17" ht="15.75" hidden="1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2:17" ht="15.75" hidden="1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2:17" ht="15.75" hidden="1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2:17" ht="15.75" hidden="1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2:17" ht="15.75" hidden="1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2:17" ht="15.75" hidden="1" thickBot="1">
      <c r="B403" s="361" t="s">
        <v>49</v>
      </c>
      <c r="C403" s="361"/>
      <c r="D403" s="361"/>
      <c r="E403" s="361"/>
      <c r="F403" s="361"/>
      <c r="G403" s="361"/>
      <c r="H403" s="361"/>
      <c r="I403" s="361"/>
      <c r="J403" s="361"/>
      <c r="K403" s="361"/>
      <c r="L403" s="361"/>
      <c r="M403" s="361"/>
      <c r="N403" s="361"/>
      <c r="O403" s="361"/>
      <c r="P403" s="361"/>
      <c r="Q403" s="361"/>
    </row>
    <row r="404" spans="2:17" ht="13.5" hidden="1" thickBot="1">
      <c r="B404" s="13" t="s">
        <v>31</v>
      </c>
      <c r="C404" s="10">
        <v>2110</v>
      </c>
      <c r="D404" s="10">
        <v>2111</v>
      </c>
      <c r="E404" s="159">
        <v>2210</v>
      </c>
      <c r="F404" s="92">
        <v>2230</v>
      </c>
      <c r="G404" s="92">
        <v>2240</v>
      </c>
      <c r="H404" s="92">
        <v>2250</v>
      </c>
      <c r="I404" s="92">
        <v>2271</v>
      </c>
      <c r="J404" s="11">
        <v>2272</v>
      </c>
      <c r="K404" s="11">
        <v>2273</v>
      </c>
      <c r="L404" s="93">
        <v>2274</v>
      </c>
      <c r="M404" s="93">
        <v>2275</v>
      </c>
      <c r="N404" s="93">
        <v>2800</v>
      </c>
      <c r="O404" s="93">
        <v>2730</v>
      </c>
      <c r="P404" s="11">
        <v>2282</v>
      </c>
      <c r="Q404" s="173" t="s">
        <v>30</v>
      </c>
    </row>
    <row r="405" spans="2:17" ht="12.75" hidden="1">
      <c r="B405" s="276" t="s">
        <v>0</v>
      </c>
      <c r="C405" s="35"/>
      <c r="D405" s="36"/>
      <c r="E405" s="197">
        <f>1000+1000+2000+1000+14890+8940+(8370*1.2)+411</f>
        <v>39285</v>
      </c>
      <c r="F405" s="199">
        <f>1566.41+472.72</f>
        <v>2039.13</v>
      </c>
      <c r="G405" s="199">
        <f>139+63.83+99+570+330</f>
        <v>1201.83</v>
      </c>
      <c r="H405" s="199"/>
      <c r="I405" s="199"/>
      <c r="J405" s="230"/>
      <c r="K405" s="201">
        <v>1029.61</v>
      </c>
      <c r="L405" s="231"/>
      <c r="M405" s="201">
        <v>165757.9</v>
      </c>
      <c r="N405" s="201"/>
      <c r="O405" s="302"/>
      <c r="P405" s="295"/>
      <c r="Q405" s="23">
        <f>SUM(E405:P405)</f>
        <v>209313.47</v>
      </c>
    </row>
    <row r="406" spans="2:17" ht="12.75" hidden="1">
      <c r="B406" s="277" t="s">
        <v>1</v>
      </c>
      <c r="C406" s="12"/>
      <c r="D406" s="2"/>
      <c r="E406" s="192">
        <f>1540+2030+9720+3070+(4650*1.2)+264+548+1361.4</f>
        <v>24113.4</v>
      </c>
      <c r="F406" s="211">
        <f>2912.98+188.51</f>
        <v>3101.49</v>
      </c>
      <c r="G406" s="190">
        <f>135+63.83+570+330</f>
        <v>1098.83</v>
      </c>
      <c r="H406" s="190"/>
      <c r="I406" s="215"/>
      <c r="J406" s="212"/>
      <c r="K406" s="206">
        <v>2549.64</v>
      </c>
      <c r="L406" s="206">
        <v>29256.12</v>
      </c>
      <c r="M406" s="208"/>
      <c r="N406" s="208"/>
      <c r="O406" s="296"/>
      <c r="P406" s="303"/>
      <c r="Q406" s="29">
        <f>SUM(E406:P406)</f>
        <v>60119.479999999996</v>
      </c>
    </row>
    <row r="407" spans="2:17" ht="12.75" hidden="1">
      <c r="B407" s="277" t="s">
        <v>2</v>
      </c>
      <c r="C407" s="12"/>
      <c r="D407" s="2"/>
      <c r="E407" s="192"/>
      <c r="F407" s="211"/>
      <c r="G407" s="190"/>
      <c r="H407" s="190"/>
      <c r="I407" s="211"/>
      <c r="J407" s="212"/>
      <c r="K407" s="206"/>
      <c r="L407" s="206"/>
      <c r="M407" s="206"/>
      <c r="N407" s="208"/>
      <c r="O407" s="296"/>
      <c r="P407" s="303"/>
      <c r="Q407" s="29">
        <f>SUM(E407:P407)</f>
        <v>0</v>
      </c>
    </row>
    <row r="408" spans="2:17" ht="12.75" hidden="1">
      <c r="B408" s="277" t="s">
        <v>3</v>
      </c>
      <c r="C408" s="12"/>
      <c r="D408" s="2"/>
      <c r="E408" s="192">
        <f>8540+2290+264+137</f>
        <v>11231</v>
      </c>
      <c r="F408" s="211">
        <f>2957.97</f>
        <v>2957.97</v>
      </c>
      <c r="G408" s="190">
        <f>149+63.83+330</f>
        <v>542.8299999999999</v>
      </c>
      <c r="H408" s="190"/>
      <c r="I408" s="211"/>
      <c r="J408" s="212"/>
      <c r="K408" s="206">
        <v>2403.33</v>
      </c>
      <c r="L408" s="206">
        <v>24345.78</v>
      </c>
      <c r="M408" s="208"/>
      <c r="N408" s="208"/>
      <c r="O408" s="296"/>
      <c r="P408" s="303"/>
      <c r="Q408" s="29">
        <f>SUM(E408:P408)</f>
        <v>41480.909999999996</v>
      </c>
    </row>
    <row r="409" spans="2:17" ht="12.75" hidden="1">
      <c r="B409" s="277" t="s">
        <v>4</v>
      </c>
      <c r="C409" s="12"/>
      <c r="D409" s="2"/>
      <c r="E409" s="192">
        <f>6740+2290+440</f>
        <v>9470</v>
      </c>
      <c r="F409" s="211">
        <f>1488.03</f>
        <v>1488.03</v>
      </c>
      <c r="G409" s="190">
        <f>63.83+330</f>
        <v>393.83</v>
      </c>
      <c r="H409" s="190"/>
      <c r="I409" s="211"/>
      <c r="J409" s="212"/>
      <c r="K409" s="206">
        <v>2910</v>
      </c>
      <c r="L409" s="206"/>
      <c r="M409" s="206"/>
      <c r="N409" s="206"/>
      <c r="O409" s="296"/>
      <c r="P409" s="303"/>
      <c r="Q409" s="29">
        <f>SUM(E409:P409)</f>
        <v>14261.86</v>
      </c>
    </row>
    <row r="410" spans="2:17" ht="12.75" hidden="1">
      <c r="B410" s="277" t="s">
        <v>5</v>
      </c>
      <c r="C410" s="12"/>
      <c r="D410" s="2"/>
      <c r="E410" s="192">
        <f>33550+25320+(7440*1.2)+(3255*1.2)+(7440*1.2)+440+1690+3973</f>
        <v>86735</v>
      </c>
      <c r="F410" s="211">
        <f>8379.91+2918.04</f>
        <v>11297.95</v>
      </c>
      <c r="G410" s="211">
        <f>308.03+457.13+330+540+540+570+570+570+660</f>
        <v>4545.16</v>
      </c>
      <c r="H410" s="211">
        <v>382.55</v>
      </c>
      <c r="I410" s="211">
        <v>156629.83</v>
      </c>
      <c r="J410" s="206">
        <f>1592.14+2760.48</f>
        <v>4352.62</v>
      </c>
      <c r="K410" s="206">
        <f>20630.13+1.3+581.19</f>
        <v>21212.62</v>
      </c>
      <c r="L410" s="206"/>
      <c r="M410" s="208"/>
      <c r="N410" s="206">
        <f>7.19</f>
        <v>7.19</v>
      </c>
      <c r="O410" s="296"/>
      <c r="P410" s="303"/>
      <c r="Q410" s="29">
        <f aca="true" t="shared" si="33" ref="Q410:Q418">SUM(E410:P410)</f>
        <v>285162.92</v>
      </c>
    </row>
    <row r="411" spans="2:17" ht="12.75" hidden="1">
      <c r="B411" s="277" t="s">
        <v>6</v>
      </c>
      <c r="C411" s="12"/>
      <c r="D411" s="2"/>
      <c r="E411" s="192">
        <f>9920+3070+548</f>
        <v>13538</v>
      </c>
      <c r="F411" s="211">
        <f>1260.12+227.68</f>
        <v>1487.8</v>
      </c>
      <c r="G411" s="190">
        <f>136.5+53.7+330</f>
        <v>520.2</v>
      </c>
      <c r="H411" s="190"/>
      <c r="I411" s="211"/>
      <c r="J411" s="206"/>
      <c r="K411" s="206">
        <v>4793.11</v>
      </c>
      <c r="L411" s="212"/>
      <c r="M411" s="206"/>
      <c r="N411" s="208"/>
      <c r="O411" s="296"/>
      <c r="P411" s="303"/>
      <c r="Q411" s="29">
        <f t="shared" si="33"/>
        <v>20339.11</v>
      </c>
    </row>
    <row r="412" spans="2:17" ht="12.75" hidden="1">
      <c r="B412" s="277" t="s">
        <v>7</v>
      </c>
      <c r="C412" s="12"/>
      <c r="D412" s="2"/>
      <c r="E412" s="192">
        <f>16450+10500+137</f>
        <v>27087</v>
      </c>
      <c r="F412" s="211">
        <f>1019.38</f>
        <v>1019.38</v>
      </c>
      <c r="G412" s="190">
        <f>229+73.52+330</f>
        <v>632.52</v>
      </c>
      <c r="H412" s="190"/>
      <c r="I412" s="215"/>
      <c r="J412" s="206">
        <v>420.76</v>
      </c>
      <c r="K412" s="206">
        <v>5020.7</v>
      </c>
      <c r="L412" s="212"/>
      <c r="M412" s="212"/>
      <c r="N412" s="205"/>
      <c r="O412" s="296"/>
      <c r="P412" s="303"/>
      <c r="Q412" s="29">
        <f t="shared" si="33"/>
        <v>34180.36</v>
      </c>
    </row>
    <row r="413" spans="2:17" ht="12.75" hidden="1">
      <c r="B413" s="277" t="s">
        <v>8</v>
      </c>
      <c r="C413" s="12"/>
      <c r="D413" s="2"/>
      <c r="E413" s="192">
        <f>7520+3070+274</f>
        <v>10864</v>
      </c>
      <c r="F413" s="211">
        <f>2891.4</f>
        <v>2891.4</v>
      </c>
      <c r="G413" s="190">
        <f>2560.2+63.83+63.83+186.97+330</f>
        <v>3204.8299999999995</v>
      </c>
      <c r="H413" s="190"/>
      <c r="I413" s="211"/>
      <c r="J413" s="212"/>
      <c r="K413" s="206">
        <v>4451.71</v>
      </c>
      <c r="L413" s="212"/>
      <c r="M413" s="206"/>
      <c r="N413" s="208"/>
      <c r="O413" s="296"/>
      <c r="P413" s="303"/>
      <c r="Q413" s="29">
        <f t="shared" si="33"/>
        <v>21411.94</v>
      </c>
    </row>
    <row r="414" spans="2:17" ht="12.75" hidden="1">
      <c r="B414" s="277" t="s">
        <v>9</v>
      </c>
      <c r="C414" s="12"/>
      <c r="D414" s="2"/>
      <c r="E414" s="192">
        <f>8340+2290+(6975*1.2)+548</f>
        <v>19548</v>
      </c>
      <c r="F414" s="211">
        <f>2872.63</f>
        <v>2872.63</v>
      </c>
      <c r="G414" s="190">
        <f>100+1609.63+63.83+570+330</f>
        <v>2673.46</v>
      </c>
      <c r="H414" s="190"/>
      <c r="I414" s="211"/>
      <c r="J414" s="212"/>
      <c r="K414" s="206">
        <v>3652.4</v>
      </c>
      <c r="L414" s="206">
        <v>34207.63</v>
      </c>
      <c r="M414" s="206"/>
      <c r="N414" s="208"/>
      <c r="O414" s="296"/>
      <c r="P414" s="303"/>
      <c r="Q414" s="29">
        <f t="shared" si="33"/>
        <v>62954.119999999995</v>
      </c>
    </row>
    <row r="415" spans="2:17" ht="12.75" hidden="1">
      <c r="B415" s="277" t="s">
        <v>10</v>
      </c>
      <c r="C415" s="12"/>
      <c r="D415" s="2"/>
      <c r="E415" s="192">
        <f>380+7520+3070+274</f>
        <v>11244</v>
      </c>
      <c r="F415" s="211">
        <f>2747.07+206.68</f>
        <v>2953.75</v>
      </c>
      <c r="G415" s="190">
        <f>135.84+66.47+330</f>
        <v>532.31</v>
      </c>
      <c r="H415" s="190"/>
      <c r="I415" s="215"/>
      <c r="J415" s="212"/>
      <c r="K415" s="206">
        <v>1338.49</v>
      </c>
      <c r="L415" s="212"/>
      <c r="M415" s="212"/>
      <c r="N415" s="205"/>
      <c r="O415" s="296"/>
      <c r="P415" s="303"/>
      <c r="Q415" s="29">
        <f t="shared" si="33"/>
        <v>16068.55</v>
      </c>
    </row>
    <row r="416" spans="2:17" ht="12.75" hidden="1">
      <c r="B416" s="277" t="s">
        <v>11</v>
      </c>
      <c r="C416" s="12"/>
      <c r="D416" s="2"/>
      <c r="E416" s="192"/>
      <c r="F416" s="211"/>
      <c r="G416" s="190"/>
      <c r="H416" s="190"/>
      <c r="I416" s="211"/>
      <c r="J416" s="206"/>
      <c r="K416" s="206"/>
      <c r="L416" s="206"/>
      <c r="M416" s="212"/>
      <c r="N416" s="205"/>
      <c r="O416" s="296"/>
      <c r="P416" s="303"/>
      <c r="Q416" s="29">
        <f t="shared" si="33"/>
        <v>0</v>
      </c>
    </row>
    <row r="417" spans="2:17" ht="12.75" hidden="1">
      <c r="B417" s="277" t="s">
        <v>13</v>
      </c>
      <c r="C417" s="12"/>
      <c r="D417" s="2"/>
      <c r="E417" s="192"/>
      <c r="F417" s="211">
        <f>496.86</f>
        <v>496.86</v>
      </c>
      <c r="G417" s="190">
        <f>38.29+330</f>
        <v>368.29</v>
      </c>
      <c r="H417" s="190"/>
      <c r="I417" s="215"/>
      <c r="J417" s="212"/>
      <c r="K417" s="206">
        <v>1265.34</v>
      </c>
      <c r="L417" s="212">
        <v>19332.51</v>
      </c>
      <c r="M417" s="212"/>
      <c r="N417" s="205"/>
      <c r="O417" s="296"/>
      <c r="P417" s="303"/>
      <c r="Q417" s="29">
        <f t="shared" si="33"/>
        <v>21463</v>
      </c>
    </row>
    <row r="418" spans="2:17" ht="12.75" hidden="1">
      <c r="B418" s="277" t="s">
        <v>14</v>
      </c>
      <c r="C418" s="12"/>
      <c r="D418" s="2"/>
      <c r="E418" s="192">
        <f>7009.8+16896.12+8140+2290+(2325*1.2)+264+548</f>
        <v>37937.92</v>
      </c>
      <c r="F418" s="211">
        <f>1174.48+162.12</f>
        <v>1336.6</v>
      </c>
      <c r="G418" s="190">
        <f>2400+63.83+570+330</f>
        <v>3363.83</v>
      </c>
      <c r="H418" s="190"/>
      <c r="I418" s="211"/>
      <c r="J418" s="212">
        <v>253.27</v>
      </c>
      <c r="K418" s="206">
        <v>1601.31</v>
      </c>
      <c r="L418" s="212"/>
      <c r="M418" s="212"/>
      <c r="N418" s="205"/>
      <c r="O418" s="296"/>
      <c r="P418" s="303"/>
      <c r="Q418" s="29">
        <f t="shared" si="33"/>
        <v>44492.92999999999</v>
      </c>
    </row>
    <row r="419" spans="2:17" ht="12.75" hidden="1">
      <c r="B419" s="277" t="s">
        <v>15</v>
      </c>
      <c r="C419" s="12"/>
      <c r="D419" s="2"/>
      <c r="E419" s="192">
        <f>204+1170+6537+9240+2990</f>
        <v>20141</v>
      </c>
      <c r="F419" s="211">
        <f>1156.45</f>
        <v>1156.45</v>
      </c>
      <c r="G419" s="190">
        <f>139+63.83+330</f>
        <v>532.8299999999999</v>
      </c>
      <c r="H419" s="190"/>
      <c r="I419" s="211"/>
      <c r="J419" s="212"/>
      <c r="K419" s="206">
        <v>1284.3</v>
      </c>
      <c r="L419" s="212"/>
      <c r="M419" s="212"/>
      <c r="N419" s="205"/>
      <c r="O419" s="296"/>
      <c r="P419" s="303"/>
      <c r="Q419" s="29">
        <f aca="true" t="shared" si="34" ref="Q419:Q435">SUM(E419:P419)</f>
        <v>23114.579999999998</v>
      </c>
    </row>
    <row r="420" spans="2:17" ht="12.75" hidden="1">
      <c r="B420" s="277" t="s">
        <v>16</v>
      </c>
      <c r="C420" s="12"/>
      <c r="D420" s="2"/>
      <c r="E420" s="192"/>
      <c r="F420" s="211"/>
      <c r="G420" s="190"/>
      <c r="H420" s="190"/>
      <c r="I420" s="211"/>
      <c r="J420" s="212"/>
      <c r="K420" s="206"/>
      <c r="L420" s="212"/>
      <c r="M420" s="206"/>
      <c r="N420" s="208"/>
      <c r="O420" s="296"/>
      <c r="P420" s="303"/>
      <c r="Q420" s="29">
        <f t="shared" si="34"/>
        <v>0</v>
      </c>
    </row>
    <row r="421" spans="2:17" ht="12.75" hidden="1">
      <c r="B421" s="277" t="s">
        <v>17</v>
      </c>
      <c r="C421" s="12"/>
      <c r="D421" s="2"/>
      <c r="E421" s="192">
        <f>917+1070+9950+140+6900+8140+2290+(8370*1.2)+264</f>
        <v>39715</v>
      </c>
      <c r="F421" s="211">
        <f>1197.05</f>
        <v>1197.05</v>
      </c>
      <c r="G421" s="190">
        <f>100+63.83+570+330</f>
        <v>1063.83</v>
      </c>
      <c r="H421" s="190"/>
      <c r="I421" s="211"/>
      <c r="J421" s="212"/>
      <c r="K421" s="206">
        <v>3189.08</v>
      </c>
      <c r="L421" s="212"/>
      <c r="M421" s="212"/>
      <c r="N421" s="205"/>
      <c r="O421" s="296"/>
      <c r="P421" s="303"/>
      <c r="Q421" s="29">
        <f t="shared" si="34"/>
        <v>45164.96000000001</v>
      </c>
    </row>
    <row r="422" spans="2:17" ht="12.75" hidden="1">
      <c r="B422" s="277" t="s">
        <v>18</v>
      </c>
      <c r="C422" s="12"/>
      <c r="D422" s="2"/>
      <c r="E422" s="192">
        <f>6740+2290+274</f>
        <v>9304</v>
      </c>
      <c r="F422" s="211">
        <f>719.93+384.86</f>
        <v>1104.79</v>
      </c>
      <c r="G422" s="190">
        <f>67.15+153.97+330</f>
        <v>551.12</v>
      </c>
      <c r="H422" s="190"/>
      <c r="I422" s="211"/>
      <c r="J422" s="212"/>
      <c r="K422" s="206">
        <v>1780.14</v>
      </c>
      <c r="L422" s="206">
        <v>54713.67</v>
      </c>
      <c r="M422" s="206"/>
      <c r="N422" s="208"/>
      <c r="O422" s="296"/>
      <c r="P422" s="232"/>
      <c r="Q422" s="29">
        <f t="shared" si="34"/>
        <v>67453.72</v>
      </c>
    </row>
    <row r="423" spans="2:17" ht="12.75" hidden="1">
      <c r="B423" s="277" t="s">
        <v>19</v>
      </c>
      <c r="C423" s="12"/>
      <c r="D423" s="2"/>
      <c r="E423" s="192">
        <f>6740+2290+548</f>
        <v>9578</v>
      </c>
      <c r="F423" s="211">
        <f>952.69+553.67</f>
        <v>1506.3600000000001</v>
      </c>
      <c r="G423" s="190">
        <f>63.83+330</f>
        <v>393.83</v>
      </c>
      <c r="H423" s="190"/>
      <c r="I423" s="211"/>
      <c r="J423" s="212"/>
      <c r="K423" s="206">
        <v>910.39</v>
      </c>
      <c r="L423" s="212"/>
      <c r="M423" s="206"/>
      <c r="N423" s="206"/>
      <c r="O423" s="296"/>
      <c r="P423" s="232"/>
      <c r="Q423" s="29">
        <f t="shared" si="34"/>
        <v>12388.58</v>
      </c>
    </row>
    <row r="424" spans="2:17" ht="12.75" hidden="1">
      <c r="B424" s="277" t="s">
        <v>20</v>
      </c>
      <c r="C424" s="46"/>
      <c r="D424" s="7"/>
      <c r="E424" s="192">
        <f>3302.3+9040+2990</f>
        <v>15332.3</v>
      </c>
      <c r="F424" s="211">
        <f>357.94</f>
        <v>357.94</v>
      </c>
      <c r="G424" s="190">
        <f>330</f>
        <v>330</v>
      </c>
      <c r="H424" s="190"/>
      <c r="I424" s="211"/>
      <c r="J424" s="212"/>
      <c r="K424" s="206">
        <v>3270.37</v>
      </c>
      <c r="L424" s="212"/>
      <c r="M424" s="206">
        <f>10450+138169.9</f>
        <v>148619.9</v>
      </c>
      <c r="N424" s="206"/>
      <c r="O424" s="232"/>
      <c r="P424" s="232"/>
      <c r="Q424" s="29">
        <f t="shared" si="34"/>
        <v>167910.51</v>
      </c>
    </row>
    <row r="425" spans="2:18" ht="12.75" hidden="1">
      <c r="B425" s="277" t="s">
        <v>21</v>
      </c>
      <c r="C425" s="46"/>
      <c r="D425" s="6"/>
      <c r="E425" s="192">
        <f>7740+2290+264</f>
        <v>10294</v>
      </c>
      <c r="F425" s="211">
        <f>155.45</f>
        <v>155.45</v>
      </c>
      <c r="G425" s="190">
        <f>120+63.83+330</f>
        <v>513.8299999999999</v>
      </c>
      <c r="H425" s="190"/>
      <c r="I425" s="211"/>
      <c r="J425" s="206">
        <v>297.6</v>
      </c>
      <c r="K425" s="206">
        <v>3370.62</v>
      </c>
      <c r="L425" s="212"/>
      <c r="M425" s="206"/>
      <c r="N425" s="206"/>
      <c r="O425" s="232"/>
      <c r="P425" s="232"/>
      <c r="Q425" s="29">
        <f t="shared" si="34"/>
        <v>14631.5</v>
      </c>
      <c r="R425" s="299"/>
    </row>
    <row r="426" spans="2:17" ht="12.75" hidden="1">
      <c r="B426" s="277" t="s">
        <v>22</v>
      </c>
      <c r="C426" s="46"/>
      <c r="D426" s="6"/>
      <c r="E426" s="192"/>
      <c r="F426" s="211"/>
      <c r="G426" s="190"/>
      <c r="H426" s="190"/>
      <c r="I426" s="211"/>
      <c r="J426" s="212"/>
      <c r="K426" s="206"/>
      <c r="L426" s="212"/>
      <c r="M426" s="206"/>
      <c r="N426" s="206"/>
      <c r="O426" s="232"/>
      <c r="P426" s="232"/>
      <c r="Q426" s="29">
        <f t="shared" si="34"/>
        <v>0</v>
      </c>
    </row>
    <row r="427" spans="2:17" ht="12.75" hidden="1">
      <c r="B427" s="277" t="s">
        <v>23</v>
      </c>
      <c r="C427" s="46"/>
      <c r="D427" s="6"/>
      <c r="E427" s="192">
        <f>8340+2290+137</f>
        <v>10767</v>
      </c>
      <c r="F427" s="211">
        <f>776.93+280.55</f>
        <v>1057.48</v>
      </c>
      <c r="G427" s="190">
        <f>76.85+153.97+330</f>
        <v>560.8199999999999</v>
      </c>
      <c r="H427" s="190"/>
      <c r="I427" s="215"/>
      <c r="J427" s="212"/>
      <c r="K427" s="206">
        <v>986.26</v>
      </c>
      <c r="L427" s="206">
        <v>10294.2</v>
      </c>
      <c r="M427" s="212"/>
      <c r="N427" s="205"/>
      <c r="O427" s="232"/>
      <c r="P427" s="232"/>
      <c r="Q427" s="29">
        <f t="shared" si="34"/>
        <v>23665.760000000002</v>
      </c>
    </row>
    <row r="428" spans="2:17" ht="12.75" hidden="1">
      <c r="B428" s="277" t="s">
        <v>24</v>
      </c>
      <c r="C428" s="46"/>
      <c r="D428" s="6"/>
      <c r="E428" s="192"/>
      <c r="F428" s="211"/>
      <c r="G428" s="216"/>
      <c r="H428" s="216"/>
      <c r="I428" s="215"/>
      <c r="J428" s="212"/>
      <c r="K428" s="206"/>
      <c r="L428" s="205"/>
      <c r="M428" s="212"/>
      <c r="N428" s="205"/>
      <c r="O428" s="232"/>
      <c r="P428" s="232"/>
      <c r="Q428" s="29">
        <f t="shared" si="34"/>
        <v>0</v>
      </c>
    </row>
    <row r="429" spans="2:17" ht="12.75" hidden="1">
      <c r="B429" s="277" t="s">
        <v>25</v>
      </c>
      <c r="C429" s="46"/>
      <c r="D429" s="6"/>
      <c r="E429" s="192"/>
      <c r="F429" s="211"/>
      <c r="G429" s="215"/>
      <c r="H429" s="215"/>
      <c r="I429" s="216"/>
      <c r="J429" s="206"/>
      <c r="K429" s="206">
        <v>40.64</v>
      </c>
      <c r="L429" s="205"/>
      <c r="M429" s="212"/>
      <c r="N429" s="205"/>
      <c r="O429" s="232"/>
      <c r="P429" s="232"/>
      <c r="Q429" s="29">
        <f t="shared" si="34"/>
        <v>40.64</v>
      </c>
    </row>
    <row r="430" spans="2:17" ht="12.75" hidden="1">
      <c r="B430" s="277" t="s">
        <v>26</v>
      </c>
      <c r="C430" s="46"/>
      <c r="D430" s="6"/>
      <c r="E430" s="192">
        <f>7540+2290</f>
        <v>9830</v>
      </c>
      <c r="F430" s="211"/>
      <c r="G430" s="216"/>
      <c r="H430" s="216"/>
      <c r="I430" s="216"/>
      <c r="J430" s="205"/>
      <c r="K430" s="206">
        <v>105.67</v>
      </c>
      <c r="L430" s="205"/>
      <c r="M430" s="212"/>
      <c r="N430" s="205"/>
      <c r="O430" s="232"/>
      <c r="P430" s="232"/>
      <c r="Q430" s="29">
        <f t="shared" si="34"/>
        <v>9935.67</v>
      </c>
    </row>
    <row r="431" spans="2:17" ht="12.75" hidden="1">
      <c r="B431" s="277" t="s">
        <v>27</v>
      </c>
      <c r="C431" s="46"/>
      <c r="D431" s="6"/>
      <c r="E431" s="192"/>
      <c r="F431" s="211"/>
      <c r="G431" s="216"/>
      <c r="H431" s="216"/>
      <c r="I431" s="216"/>
      <c r="J431" s="205"/>
      <c r="K431" s="206"/>
      <c r="L431" s="212"/>
      <c r="M431" s="212"/>
      <c r="N431" s="205"/>
      <c r="O431" s="232"/>
      <c r="P431" s="232"/>
      <c r="Q431" s="29">
        <f t="shared" si="34"/>
        <v>0</v>
      </c>
    </row>
    <row r="432" spans="2:17" ht="12.75" hidden="1">
      <c r="B432" s="277" t="s">
        <v>28</v>
      </c>
      <c r="C432" s="46"/>
      <c r="D432" s="6"/>
      <c r="E432" s="192">
        <f>8440+2990+137</f>
        <v>11567</v>
      </c>
      <c r="F432" s="211"/>
      <c r="G432" s="216"/>
      <c r="H432" s="216"/>
      <c r="I432" s="216"/>
      <c r="J432" s="205"/>
      <c r="K432" s="206">
        <v>102.96</v>
      </c>
      <c r="L432" s="205"/>
      <c r="M432" s="212"/>
      <c r="N432" s="205"/>
      <c r="O432" s="232"/>
      <c r="P432" s="232"/>
      <c r="Q432" s="29">
        <f t="shared" si="34"/>
        <v>11669.96</v>
      </c>
    </row>
    <row r="433" spans="2:17" ht="12.75" hidden="1">
      <c r="B433" s="277" t="s">
        <v>29</v>
      </c>
      <c r="C433" s="46"/>
      <c r="D433" s="6"/>
      <c r="E433" s="192">
        <f>8840+2990</f>
        <v>11830</v>
      </c>
      <c r="F433" s="211"/>
      <c r="G433" s="233"/>
      <c r="H433" s="233"/>
      <c r="I433" s="233"/>
      <c r="J433" s="205"/>
      <c r="K433" s="206">
        <v>116.51</v>
      </c>
      <c r="L433" s="205"/>
      <c r="M433" s="212"/>
      <c r="N433" s="205"/>
      <c r="O433" s="232"/>
      <c r="P433" s="232"/>
      <c r="Q433" s="29">
        <f t="shared" si="34"/>
        <v>11946.51</v>
      </c>
    </row>
    <row r="434" spans="2:17" ht="12.75" hidden="1">
      <c r="B434" s="277" t="s">
        <v>51</v>
      </c>
      <c r="C434" s="46"/>
      <c r="D434" s="6"/>
      <c r="E434" s="215"/>
      <c r="F434" s="211"/>
      <c r="G434" s="211">
        <v>63.83</v>
      </c>
      <c r="H434" s="211"/>
      <c r="I434" s="234"/>
      <c r="J434" s="205"/>
      <c r="K434" s="206"/>
      <c r="L434" s="234"/>
      <c r="M434" s="212"/>
      <c r="N434" s="205"/>
      <c r="O434" s="232"/>
      <c r="P434" s="232"/>
      <c r="Q434" s="29">
        <f t="shared" si="34"/>
        <v>63.83</v>
      </c>
    </row>
    <row r="435" spans="2:17" ht="13.5" hidden="1" thickBot="1">
      <c r="B435" s="278" t="s">
        <v>32</v>
      </c>
      <c r="C435" s="60"/>
      <c r="D435" s="40"/>
      <c r="E435" s="220"/>
      <c r="F435" s="220"/>
      <c r="G435" s="220">
        <v>1350</v>
      </c>
      <c r="H435" s="301"/>
      <c r="I435" s="220"/>
      <c r="J435" s="223"/>
      <c r="K435" s="224"/>
      <c r="L435" s="235"/>
      <c r="M435" s="223"/>
      <c r="N435" s="223"/>
      <c r="O435" s="236"/>
      <c r="P435" s="236"/>
      <c r="Q435" s="29">
        <f t="shared" si="34"/>
        <v>1350</v>
      </c>
    </row>
    <row r="436" spans="2:17" ht="13.5" hidden="1" thickBot="1">
      <c r="B436" s="24" t="s">
        <v>12</v>
      </c>
      <c r="C436" s="89">
        <f>SUM(C424:C435)</f>
        <v>0</v>
      </c>
      <c r="D436" s="89">
        <f>SUM(D424:D435)</f>
        <v>0</v>
      </c>
      <c r="E436" s="226">
        <f>SUM(E405:E434)+E435</f>
        <v>439411.62</v>
      </c>
      <c r="F436" s="135">
        <f aca="true" t="shared" si="35" ref="F436:P436">SUM(F405:F434)</f>
        <v>40478.51000000001</v>
      </c>
      <c r="G436" s="135">
        <f>SUM(G405:G434)+G435</f>
        <v>24438.010000000002</v>
      </c>
      <c r="H436" s="135">
        <f>SUM(H405:H434)+H435</f>
        <v>382.55</v>
      </c>
      <c r="I436" s="135">
        <f>SUM(I405:I434)+I435</f>
        <v>156629.83</v>
      </c>
      <c r="J436" s="135">
        <f t="shared" si="35"/>
        <v>5324.250000000001</v>
      </c>
      <c r="K436" s="135">
        <f t="shared" si="35"/>
        <v>67385.19999999998</v>
      </c>
      <c r="L436" s="135">
        <f t="shared" si="35"/>
        <v>172149.91</v>
      </c>
      <c r="M436" s="142">
        <f t="shared" si="35"/>
        <v>314377.8</v>
      </c>
      <c r="N436" s="142">
        <f t="shared" si="35"/>
        <v>7.19</v>
      </c>
      <c r="O436" s="142">
        <f t="shared" si="35"/>
        <v>0</v>
      </c>
      <c r="P436" s="142">
        <f t="shared" si="35"/>
        <v>0</v>
      </c>
      <c r="Q436" s="97">
        <f>SUM(Q405:Q434)+Q435</f>
        <v>1220584.8699999996</v>
      </c>
    </row>
    <row r="437" spans="2:17" ht="13.5" hidden="1" thickBot="1">
      <c r="B437" s="61"/>
      <c r="C437" s="94">
        <v>2110</v>
      </c>
      <c r="D437" s="94">
        <v>2111</v>
      </c>
      <c r="E437" s="178">
        <v>2210</v>
      </c>
      <c r="F437" s="139">
        <v>2230</v>
      </c>
      <c r="G437" s="139">
        <v>2240</v>
      </c>
      <c r="H437" s="139">
        <v>2250</v>
      </c>
      <c r="I437" s="139">
        <v>2271</v>
      </c>
      <c r="J437" s="140">
        <v>2272</v>
      </c>
      <c r="K437" s="140">
        <v>2273</v>
      </c>
      <c r="L437" s="139">
        <v>2274</v>
      </c>
      <c r="M437" s="139">
        <v>2275</v>
      </c>
      <c r="N437" s="139">
        <v>2800</v>
      </c>
      <c r="O437" s="93">
        <v>2730</v>
      </c>
      <c r="P437" s="11">
        <v>2282</v>
      </c>
      <c r="Q437" s="97">
        <f>E436+F436+G436+I436+J436+K436+L436+M436+N436+O436+P436</f>
        <v>1220202.3199999998</v>
      </c>
    </row>
    <row r="438" spans="2:17" ht="15" hidden="1">
      <c r="B438" s="51"/>
      <c r="C438" s="51"/>
      <c r="D438" s="51"/>
      <c r="E438" s="145">
        <f>112185.52+176736</f>
        <v>288921.52</v>
      </c>
      <c r="F438" s="145">
        <f>40478.51</f>
        <v>40478.51</v>
      </c>
      <c r="G438" s="145">
        <f>35037.99</f>
        <v>35037.99</v>
      </c>
      <c r="H438" s="145">
        <v>382.55</v>
      </c>
      <c r="I438" s="145">
        <f>156629.83</f>
        <v>156629.83</v>
      </c>
      <c r="J438" s="227">
        <f>5324.25</f>
        <v>5324.25</v>
      </c>
      <c r="K438" s="227">
        <f>67385.2</f>
        <v>67385.2</v>
      </c>
      <c r="L438" s="145">
        <f>2754.18</f>
        <v>2754.18</v>
      </c>
      <c r="M438" s="145">
        <f>314377.8</f>
        <v>314377.8</v>
      </c>
      <c r="N438" s="145">
        <f>7.19</f>
        <v>7.19</v>
      </c>
      <c r="O438" s="227"/>
      <c r="P438" s="227"/>
      <c r="Q438" s="141">
        <f>SUM(E438:P438)</f>
        <v>911299.02</v>
      </c>
    </row>
    <row r="439" spans="2:17" ht="15.75" hidden="1">
      <c r="B439" s="249" t="s">
        <v>12</v>
      </c>
      <c r="C439" s="65"/>
      <c r="D439" s="65"/>
      <c r="E439" s="294">
        <f aca="true" t="shared" si="36" ref="E439:P439">SUM(E438)</f>
        <v>288921.52</v>
      </c>
      <c r="F439" s="294">
        <f t="shared" si="36"/>
        <v>40478.51</v>
      </c>
      <c r="G439" s="294">
        <f t="shared" si="36"/>
        <v>35037.99</v>
      </c>
      <c r="H439" s="294">
        <f t="shared" si="36"/>
        <v>382.55</v>
      </c>
      <c r="I439" s="294">
        <f t="shared" si="36"/>
        <v>156629.83</v>
      </c>
      <c r="J439" s="294">
        <f t="shared" si="36"/>
        <v>5324.25</v>
      </c>
      <c r="K439" s="294">
        <f t="shared" si="36"/>
        <v>67385.2</v>
      </c>
      <c r="L439" s="294">
        <f t="shared" si="36"/>
        <v>2754.18</v>
      </c>
      <c r="M439" s="294">
        <f t="shared" si="36"/>
        <v>314377.8</v>
      </c>
      <c r="N439" s="294">
        <f t="shared" si="36"/>
        <v>7.19</v>
      </c>
      <c r="O439" s="294">
        <f t="shared" si="36"/>
        <v>0</v>
      </c>
      <c r="P439" s="294">
        <f t="shared" si="36"/>
        <v>0</v>
      </c>
      <c r="Q439" s="294">
        <f>SUM(E439:P439)</f>
        <v>911299.02</v>
      </c>
    </row>
    <row r="440" spans="2:17" ht="15.75" hidden="1">
      <c r="B440" s="52"/>
      <c r="C440" s="52"/>
      <c r="D440" s="52"/>
      <c r="E440" s="52"/>
      <c r="F440" s="52"/>
      <c r="G440" s="52"/>
      <c r="H440" s="52"/>
      <c r="I440" s="52"/>
      <c r="J440" s="52"/>
      <c r="K440" s="316"/>
      <c r="L440" s="52"/>
      <c r="M440" s="52"/>
      <c r="N440" s="52"/>
      <c r="O440" s="52"/>
      <c r="P440" s="52"/>
      <c r="Q440" s="52"/>
    </row>
    <row r="441" spans="2:17" ht="15.75" hidden="1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2:17" ht="15.75" hidden="1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2:17" ht="15.75" hidden="1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2:17" ht="15.75" hidden="1" thickBot="1">
      <c r="B444" s="361" t="s">
        <v>50</v>
      </c>
      <c r="C444" s="361"/>
      <c r="D444" s="361"/>
      <c r="E444" s="361"/>
      <c r="F444" s="361"/>
      <c r="G444" s="361"/>
      <c r="H444" s="361"/>
      <c r="I444" s="361"/>
      <c r="J444" s="361"/>
      <c r="K444" s="361"/>
      <c r="L444" s="361"/>
      <c r="M444" s="361"/>
      <c r="N444" s="361"/>
      <c r="O444" s="361"/>
      <c r="P444" s="361"/>
      <c r="Q444" s="361"/>
    </row>
    <row r="445" spans="2:17" ht="13.5" hidden="1" thickBot="1">
      <c r="B445" s="18" t="s">
        <v>31</v>
      </c>
      <c r="C445" s="158">
        <v>2110</v>
      </c>
      <c r="D445" s="158">
        <v>2111</v>
      </c>
      <c r="E445" s="159">
        <v>2210</v>
      </c>
      <c r="F445" s="92">
        <v>2230</v>
      </c>
      <c r="G445" s="92">
        <v>2240</v>
      </c>
      <c r="H445" s="92">
        <v>2250</v>
      </c>
      <c r="I445" s="92">
        <v>2271</v>
      </c>
      <c r="J445" s="11">
        <v>2272</v>
      </c>
      <c r="K445" s="11">
        <v>2273</v>
      </c>
      <c r="L445" s="93">
        <v>2274</v>
      </c>
      <c r="M445" s="93">
        <v>2275</v>
      </c>
      <c r="N445" s="93">
        <v>2800</v>
      </c>
      <c r="O445" s="93">
        <v>2730</v>
      </c>
      <c r="P445" s="11">
        <v>2282</v>
      </c>
      <c r="Q445" s="173" t="s">
        <v>30</v>
      </c>
    </row>
    <row r="446" spans="2:17" ht="12.75" hidden="1">
      <c r="B446" s="14" t="s">
        <v>0</v>
      </c>
      <c r="C446" s="35"/>
      <c r="D446" s="36"/>
      <c r="E446" s="211">
        <f>4917.5+7175+(9985*1.2)+5000+7259.38+3700+5300+6496+11500+50</f>
        <v>63379.88</v>
      </c>
      <c r="F446" s="211">
        <f>1589.7+507.37</f>
        <v>2097.07</v>
      </c>
      <c r="G446" s="211">
        <f>63.83+99+139+1691</f>
        <v>1992.83</v>
      </c>
      <c r="H446" s="211"/>
      <c r="I446" s="211"/>
      <c r="J446" s="230"/>
      <c r="K446" s="201">
        <f>2769+1.37-1090.02</f>
        <v>1680.35</v>
      </c>
      <c r="L446" s="200"/>
      <c r="M446" s="304"/>
      <c r="N446" s="304"/>
      <c r="O446" s="202"/>
      <c r="P446" s="305"/>
      <c r="Q446" s="23">
        <f>SUM(E446:P446)</f>
        <v>69150.13</v>
      </c>
    </row>
    <row r="447" spans="2:17" ht="12.75" hidden="1">
      <c r="B447" s="15" t="s">
        <v>1</v>
      </c>
      <c r="C447" s="12"/>
      <c r="D447" s="2"/>
      <c r="E447" s="211">
        <f>4917.5+11275+(6045*1.2)+800+1262.5+6753.6+8660+3000+14500+13050+1450+6005.05</f>
        <v>78927.65000000001</v>
      </c>
      <c r="F447" s="211">
        <f>2153.09+704.05</f>
        <v>2857.1400000000003</v>
      </c>
      <c r="G447" s="211">
        <f>63.83+135+135+1691+980</f>
        <v>3004.83</v>
      </c>
      <c r="H447" s="211">
        <f>491.34</f>
        <v>491.34</v>
      </c>
      <c r="I447" s="211"/>
      <c r="J447" s="212"/>
      <c r="K447" s="206">
        <v>4408</v>
      </c>
      <c r="L447" s="206">
        <v>48649.3</v>
      </c>
      <c r="M447" s="208"/>
      <c r="N447" s="208"/>
      <c r="O447" s="209"/>
      <c r="P447" s="210"/>
      <c r="Q447" s="29">
        <f>SUM(E447:P447)</f>
        <v>138338.26</v>
      </c>
    </row>
    <row r="448" spans="2:17" ht="12.75" hidden="1">
      <c r="B448" s="15" t="s">
        <v>2</v>
      </c>
      <c r="C448" s="12"/>
      <c r="D448" s="2"/>
      <c r="E448" s="211"/>
      <c r="F448" s="211"/>
      <c r="G448" s="211"/>
      <c r="H448" s="211"/>
      <c r="I448" s="211"/>
      <c r="J448" s="212"/>
      <c r="K448" s="206"/>
      <c r="L448" s="206"/>
      <c r="M448" s="206"/>
      <c r="N448" s="206"/>
      <c r="O448" s="209"/>
      <c r="P448" s="210"/>
      <c r="Q448" s="29">
        <f>SUM(E448:P448)</f>
        <v>0</v>
      </c>
    </row>
    <row r="449" spans="2:17" ht="12.75" hidden="1">
      <c r="B449" s="15" t="s">
        <v>3</v>
      </c>
      <c r="C449" s="12"/>
      <c r="D449" s="2"/>
      <c r="E449" s="211">
        <f>4917.5+9225</f>
        <v>14142.5</v>
      </c>
      <c r="F449" s="211">
        <f>2650.65</f>
        <v>2650.65</v>
      </c>
      <c r="G449" s="211">
        <f>29.78+1691+980</f>
        <v>2700.7799999999997</v>
      </c>
      <c r="H449" s="211"/>
      <c r="I449" s="211"/>
      <c r="J449" s="212"/>
      <c r="K449" s="206">
        <v>3433</v>
      </c>
      <c r="L449" s="206">
        <v>33107.15</v>
      </c>
      <c r="M449" s="206"/>
      <c r="N449" s="206"/>
      <c r="O449" s="209"/>
      <c r="P449" s="210"/>
      <c r="Q449" s="29">
        <f>SUM(E449:P449)</f>
        <v>56034.08</v>
      </c>
    </row>
    <row r="450" spans="2:17" ht="12.75" hidden="1">
      <c r="B450" s="15" t="s">
        <v>4</v>
      </c>
      <c r="C450" s="12"/>
      <c r="D450" s="2"/>
      <c r="E450" s="211">
        <f>4917.5+6150</f>
        <v>11067.5</v>
      </c>
      <c r="F450" s="211">
        <f>1393.03</f>
        <v>1393.03</v>
      </c>
      <c r="G450" s="211">
        <f>63.83+1691</f>
        <v>1754.83</v>
      </c>
      <c r="H450" s="211"/>
      <c r="I450" s="211"/>
      <c r="J450" s="212"/>
      <c r="K450" s="206">
        <v>3062</v>
      </c>
      <c r="L450" s="206"/>
      <c r="M450" s="206"/>
      <c r="N450" s="206"/>
      <c r="O450" s="209"/>
      <c r="P450" s="210"/>
      <c r="Q450" s="29">
        <f aca="true" t="shared" si="37" ref="Q450:Q455">SUM(E450:P450)</f>
        <v>17277.36</v>
      </c>
    </row>
    <row r="451" spans="2:17" ht="12.75" hidden="1">
      <c r="B451" s="15" t="s">
        <v>5</v>
      </c>
      <c r="C451" s="12"/>
      <c r="D451" s="2"/>
      <c r="E451" s="211">
        <f>11700+5823+8600+14752.51+62525+(6045*1.2)+(4650*1.2)+(7440*1.2)+9880+7075.55+10120+10500+7414.12+4500</f>
        <v>174652.18</v>
      </c>
      <c r="F451" s="211">
        <f>8828.83+2797.07</f>
        <v>11625.9</v>
      </c>
      <c r="G451" s="211">
        <f>308.03+384.13+426.78+1691+7000</f>
        <v>9809.94</v>
      </c>
      <c r="H451" s="211"/>
      <c r="I451" s="211">
        <v>187953.17</v>
      </c>
      <c r="J451" s="206">
        <f>2270.27+3936.24-476.67</f>
        <v>5729.84</v>
      </c>
      <c r="K451" s="206">
        <f>34817+1020.86-3-22225.36-12195.91</f>
        <v>1413.5900000000001</v>
      </c>
      <c r="L451" s="206"/>
      <c r="M451" s="206"/>
      <c r="N451" s="206">
        <v>510</v>
      </c>
      <c r="O451" s="306"/>
      <c r="P451" s="210"/>
      <c r="Q451" s="29">
        <f t="shared" si="37"/>
        <v>391694.62000000005</v>
      </c>
    </row>
    <row r="452" spans="2:17" ht="12.75" hidden="1">
      <c r="B452" s="15" t="s">
        <v>6</v>
      </c>
      <c r="C452" s="12"/>
      <c r="D452" s="2"/>
      <c r="E452" s="211">
        <f>4917.5+12300</f>
        <v>17217.5</v>
      </c>
      <c r="F452" s="211">
        <f>1326.88+281.95</f>
        <v>1608.8300000000002</v>
      </c>
      <c r="G452" s="211">
        <f>53.7+136.5+1691</f>
        <v>1881.2</v>
      </c>
      <c r="H452" s="211"/>
      <c r="I452" s="211"/>
      <c r="J452" s="206">
        <v>969.5</v>
      </c>
      <c r="K452" s="206">
        <v>7392</v>
      </c>
      <c r="L452" s="206"/>
      <c r="M452" s="206"/>
      <c r="N452" s="206"/>
      <c r="O452" s="209"/>
      <c r="P452" s="210"/>
      <c r="Q452" s="29">
        <f t="shared" si="37"/>
        <v>29069.030000000002</v>
      </c>
    </row>
    <row r="453" spans="2:17" ht="12.75" hidden="1">
      <c r="B453" s="15" t="s">
        <v>7</v>
      </c>
      <c r="C453" s="12"/>
      <c r="D453" s="2"/>
      <c r="E453" s="211">
        <f>4917.5+14350</f>
        <v>19267.5</v>
      </c>
      <c r="F453" s="211">
        <f>681.65</f>
        <v>681.65</v>
      </c>
      <c r="G453" s="211">
        <f>73.52+229+229+1691+2500</f>
        <v>4722.52</v>
      </c>
      <c r="H453" s="211">
        <v>232.41</v>
      </c>
      <c r="I453" s="211"/>
      <c r="J453" s="206">
        <v>465.03</v>
      </c>
      <c r="K453" s="206">
        <f>12494-398.58</f>
        <v>12095.42</v>
      </c>
      <c r="L453" s="206"/>
      <c r="M453" s="212"/>
      <c r="N453" s="212"/>
      <c r="O453" s="209"/>
      <c r="P453" s="210"/>
      <c r="Q453" s="29">
        <f t="shared" si="37"/>
        <v>37464.53</v>
      </c>
    </row>
    <row r="454" spans="2:17" ht="12.75" hidden="1">
      <c r="B454" s="15" t="s">
        <v>8</v>
      </c>
      <c r="C454" s="12"/>
      <c r="D454" s="2"/>
      <c r="E454" s="211">
        <f>4917.5+12300+5000</f>
        <v>22217.5</v>
      </c>
      <c r="F454" s="211">
        <f>2166.48</f>
        <v>2166.48</v>
      </c>
      <c r="G454" s="211">
        <f>63.83+63.83+182+1836+1377+600+1691+2500</f>
        <v>8313.66</v>
      </c>
      <c r="H454" s="211">
        <f>585.6</f>
        <v>585.6</v>
      </c>
      <c r="I454" s="211">
        <v>299296.34</v>
      </c>
      <c r="J454" s="206">
        <v>1315.8</v>
      </c>
      <c r="K454" s="206">
        <f>6115-185.64</f>
        <v>5929.36</v>
      </c>
      <c r="L454" s="206"/>
      <c r="M454" s="206"/>
      <c r="N454" s="206"/>
      <c r="O454" s="209"/>
      <c r="P454" s="210"/>
      <c r="Q454" s="29">
        <f t="shared" si="37"/>
        <v>339824.74</v>
      </c>
    </row>
    <row r="455" spans="2:17" ht="12.75" hidden="1">
      <c r="B455" s="15" t="s">
        <v>9</v>
      </c>
      <c r="C455" s="12"/>
      <c r="D455" s="2"/>
      <c r="E455" s="211">
        <f>4917.5+7175+(8370*1.2)</f>
        <v>22136.5</v>
      </c>
      <c r="F455" s="211">
        <f>2604.68</f>
        <v>2604.68</v>
      </c>
      <c r="G455" s="211">
        <f>63.83+5845.76+1691+980</f>
        <v>8580.59</v>
      </c>
      <c r="H455" s="211"/>
      <c r="I455" s="211"/>
      <c r="J455" s="212"/>
      <c r="K455" s="206">
        <v>5205</v>
      </c>
      <c r="L455" s="206">
        <v>51189.09</v>
      </c>
      <c r="M455" s="206"/>
      <c r="N455" s="206"/>
      <c r="O455" s="209"/>
      <c r="P455" s="210"/>
      <c r="Q455" s="29">
        <f t="shared" si="37"/>
        <v>89715.86</v>
      </c>
    </row>
    <row r="456" spans="2:17" ht="12.75" hidden="1">
      <c r="B456" s="15" t="s">
        <v>10</v>
      </c>
      <c r="C456" s="12"/>
      <c r="D456" s="2"/>
      <c r="E456" s="211">
        <f>4370+4917.5+11275</f>
        <v>20562.5</v>
      </c>
      <c r="F456" s="211">
        <f>2738.44+1205.4</f>
        <v>3943.84</v>
      </c>
      <c r="G456" s="211">
        <f>66.47+136.5+1691</f>
        <v>1893.97</v>
      </c>
      <c r="H456" s="211"/>
      <c r="I456" s="211"/>
      <c r="J456" s="206">
        <v>855.04</v>
      </c>
      <c r="K456" s="206">
        <v>1910</v>
      </c>
      <c r="L456" s="206"/>
      <c r="M456" s="206"/>
      <c r="N456" s="206"/>
      <c r="O456" s="209"/>
      <c r="P456" s="210"/>
      <c r="Q456" s="29">
        <f aca="true" t="shared" si="38" ref="Q456:Q476">SUM(E456:P456)</f>
        <v>29165.350000000002</v>
      </c>
    </row>
    <row r="457" spans="2:17" ht="12.75" hidden="1">
      <c r="B457" s="15" t="s">
        <v>11</v>
      </c>
      <c r="C457" s="12"/>
      <c r="D457" s="2"/>
      <c r="E457" s="211"/>
      <c r="F457" s="211"/>
      <c r="G457" s="211"/>
      <c r="H457" s="211"/>
      <c r="I457" s="211"/>
      <c r="J457" s="212"/>
      <c r="K457" s="206"/>
      <c r="L457" s="206"/>
      <c r="M457" s="206"/>
      <c r="N457" s="206"/>
      <c r="O457" s="209"/>
      <c r="P457" s="210"/>
      <c r="Q457" s="29">
        <f t="shared" si="38"/>
        <v>0</v>
      </c>
    </row>
    <row r="458" spans="2:17" ht="12.75" hidden="1">
      <c r="B458" s="15" t="s">
        <v>13</v>
      </c>
      <c r="C458" s="12"/>
      <c r="D458" s="2"/>
      <c r="E458" s="211">
        <f>4917.5+7175</f>
        <v>12092.5</v>
      </c>
      <c r="F458" s="211">
        <f>456.2</f>
        <v>456.2</v>
      </c>
      <c r="G458" s="211">
        <f>38.29+1691+980</f>
        <v>2709.29</v>
      </c>
      <c r="H458" s="211">
        <f>180</f>
        <v>180</v>
      </c>
      <c r="I458" s="211"/>
      <c r="J458" s="212"/>
      <c r="K458" s="206">
        <f>2108-7329.75</f>
        <v>-5221.75</v>
      </c>
      <c r="L458" s="206">
        <f>27229.67-14248.59</f>
        <v>12981.079999999998</v>
      </c>
      <c r="M458" s="206"/>
      <c r="N458" s="206"/>
      <c r="O458" s="209"/>
      <c r="P458" s="210"/>
      <c r="Q458" s="29">
        <f t="shared" si="38"/>
        <v>23197.32</v>
      </c>
    </row>
    <row r="459" spans="2:17" ht="12.75" hidden="1">
      <c r="B459" s="15" t="s">
        <v>14</v>
      </c>
      <c r="C459" s="12"/>
      <c r="D459" s="2"/>
      <c r="E459" s="211">
        <f>4917.5+6150+(4650*1.2)+3000+6000+8910</f>
        <v>34557.5</v>
      </c>
      <c r="F459" s="211">
        <f>1106.83+148.53</f>
        <v>1255.36</v>
      </c>
      <c r="G459" s="211">
        <f>63.83+1691</f>
        <v>1754.83</v>
      </c>
      <c r="H459" s="211"/>
      <c r="I459" s="211"/>
      <c r="J459" s="206">
        <v>279.93</v>
      </c>
      <c r="K459" s="206">
        <v>2907</v>
      </c>
      <c r="L459" s="206"/>
      <c r="M459" s="206"/>
      <c r="N459" s="206"/>
      <c r="O459" s="209"/>
      <c r="P459" s="210"/>
      <c r="Q459" s="29">
        <f t="shared" si="38"/>
        <v>40754.62</v>
      </c>
    </row>
    <row r="460" spans="2:17" ht="12.75" hidden="1">
      <c r="B460" s="15" t="s">
        <v>15</v>
      </c>
      <c r="C460" s="12"/>
      <c r="D460" s="2"/>
      <c r="E460" s="211">
        <f>4917.5+10250+100</f>
        <v>15267.5</v>
      </c>
      <c r="F460" s="211">
        <f>584.38</f>
        <v>584.38</v>
      </c>
      <c r="G460" s="211">
        <f>63.83+139+1691</f>
        <v>1893.83</v>
      </c>
      <c r="H460" s="211"/>
      <c r="I460" s="211"/>
      <c r="J460" s="212"/>
      <c r="K460" s="206">
        <v>2317</v>
      </c>
      <c r="L460" s="206"/>
      <c r="M460" s="206"/>
      <c r="N460" s="206"/>
      <c r="O460" s="209"/>
      <c r="P460" s="210"/>
      <c r="Q460" s="29">
        <f t="shared" si="38"/>
        <v>20062.71</v>
      </c>
    </row>
    <row r="461" spans="2:17" ht="12.75" hidden="1">
      <c r="B461" s="15" t="s">
        <v>16</v>
      </c>
      <c r="C461" s="12"/>
      <c r="D461" s="2"/>
      <c r="E461" s="211"/>
      <c r="F461" s="211"/>
      <c r="G461" s="211"/>
      <c r="H461" s="211"/>
      <c r="I461" s="211"/>
      <c r="J461" s="212"/>
      <c r="K461" s="206"/>
      <c r="L461" s="206"/>
      <c r="M461" s="206"/>
      <c r="N461" s="206"/>
      <c r="O461" s="209"/>
      <c r="P461" s="210"/>
      <c r="Q461" s="29">
        <f t="shared" si="38"/>
        <v>0</v>
      </c>
    </row>
    <row r="462" spans="2:17" ht="12.75" hidden="1">
      <c r="B462" s="15" t="s">
        <v>17</v>
      </c>
      <c r="C462" s="12"/>
      <c r="D462" s="2"/>
      <c r="E462" s="211">
        <f>4917.5+7175+(11625*1.2)</f>
        <v>26042.5</v>
      </c>
      <c r="F462" s="211">
        <f>1166.92</f>
        <v>1166.92</v>
      </c>
      <c r="G462" s="211">
        <f>63.83+100+1691</f>
        <v>1854.83</v>
      </c>
      <c r="H462" s="211"/>
      <c r="I462" s="211"/>
      <c r="J462" s="212"/>
      <c r="K462" s="206">
        <f>4720-8905.75</f>
        <v>-4185.75</v>
      </c>
      <c r="L462" s="206"/>
      <c r="M462" s="206">
        <f>31350-17033.54</f>
        <v>14316.46</v>
      </c>
      <c r="N462" s="206"/>
      <c r="O462" s="209"/>
      <c r="P462" s="210"/>
      <c r="Q462" s="29">
        <f t="shared" si="38"/>
        <v>39194.96</v>
      </c>
    </row>
    <row r="463" spans="2:17" ht="12.75" hidden="1">
      <c r="B463" s="15" t="s">
        <v>18</v>
      </c>
      <c r="C463" s="12"/>
      <c r="D463" s="2"/>
      <c r="E463" s="211">
        <f>4917.5+6150+6000</f>
        <v>17067.5</v>
      </c>
      <c r="F463" s="211">
        <f>842.26+274.12</f>
        <v>1116.38</v>
      </c>
      <c r="G463" s="211">
        <f>67.15+149+300+1691+980</f>
        <v>3187.15</v>
      </c>
      <c r="H463" s="211">
        <v>393.52</v>
      </c>
      <c r="I463" s="211"/>
      <c r="J463" s="206">
        <v>1806</v>
      </c>
      <c r="K463" s="206">
        <v>2951</v>
      </c>
      <c r="L463" s="206">
        <v>25364.17</v>
      </c>
      <c r="M463" s="206"/>
      <c r="N463" s="206"/>
      <c r="O463" s="209"/>
      <c r="P463" s="210"/>
      <c r="Q463" s="29">
        <f t="shared" si="38"/>
        <v>51885.72</v>
      </c>
    </row>
    <row r="464" spans="2:17" ht="12.75" hidden="1">
      <c r="B464" s="15" t="s">
        <v>19</v>
      </c>
      <c r="C464" s="12"/>
      <c r="D464" s="2"/>
      <c r="E464" s="211">
        <f>4917.5+5125+10921+125</f>
        <v>21088.5</v>
      </c>
      <c r="F464" s="211">
        <f>1276.51+385.91</f>
        <v>1662.42</v>
      </c>
      <c r="G464" s="211">
        <f>63.83+1691</f>
        <v>1754.83</v>
      </c>
      <c r="H464" s="211"/>
      <c r="I464" s="211"/>
      <c r="J464" s="206">
        <v>657.9</v>
      </c>
      <c r="K464" s="206">
        <v>1347</v>
      </c>
      <c r="L464" s="206"/>
      <c r="M464" s="206"/>
      <c r="N464" s="206"/>
      <c r="O464" s="209"/>
      <c r="P464" s="210"/>
      <c r="Q464" s="29">
        <f t="shared" si="38"/>
        <v>26510.65</v>
      </c>
    </row>
    <row r="465" spans="2:17" ht="12.75" hidden="1">
      <c r="B465" s="15" t="s">
        <v>20</v>
      </c>
      <c r="C465" s="46"/>
      <c r="D465" s="7"/>
      <c r="E465" s="211">
        <f>4917.5+8200+1500+10000+5000+1700</f>
        <v>31317.5</v>
      </c>
      <c r="F465" s="211">
        <f>358.4</f>
        <v>358.4</v>
      </c>
      <c r="G465" s="211"/>
      <c r="H465" s="211"/>
      <c r="I465" s="211"/>
      <c r="J465" s="212"/>
      <c r="K465" s="206">
        <v>7578</v>
      </c>
      <c r="L465" s="206"/>
      <c r="M465" s="206">
        <f>-2019.2</f>
        <v>-2019.2</v>
      </c>
      <c r="N465" s="206"/>
      <c r="O465" s="209"/>
      <c r="P465" s="210"/>
      <c r="Q465" s="29">
        <f t="shared" si="38"/>
        <v>37234.700000000004</v>
      </c>
    </row>
    <row r="466" spans="2:18" ht="12.75" hidden="1">
      <c r="B466" s="15" t="s">
        <v>21</v>
      </c>
      <c r="C466" s="46"/>
      <c r="D466" s="6"/>
      <c r="E466" s="211">
        <f>4917.5+5125+6000</f>
        <v>16042.5</v>
      </c>
      <c r="F466" s="211">
        <f>163.13</f>
        <v>163.13</v>
      </c>
      <c r="G466" s="211">
        <f>63.83+120+1691+2069.47</f>
        <v>3944.2999999999997</v>
      </c>
      <c r="H466" s="211">
        <f>473.4</f>
        <v>473.4</v>
      </c>
      <c r="I466" s="211"/>
      <c r="J466" s="206"/>
      <c r="K466" s="206">
        <f>3734-620-818.4-669.6-744</f>
        <v>882</v>
      </c>
      <c r="L466" s="206"/>
      <c r="M466" s="206">
        <f>-4540.2-454.02-2497.11</f>
        <v>-7491.33</v>
      </c>
      <c r="N466" s="206"/>
      <c r="O466" s="209"/>
      <c r="P466" s="210"/>
      <c r="Q466" s="29">
        <f t="shared" si="38"/>
        <v>14014.000000000002</v>
      </c>
      <c r="R466" s="299"/>
    </row>
    <row r="467" spans="2:17" ht="12.75" hidden="1">
      <c r="B467" s="15" t="s">
        <v>22</v>
      </c>
      <c r="C467" s="46"/>
      <c r="D467" s="6"/>
      <c r="E467" s="211"/>
      <c r="F467" s="211"/>
      <c r="G467" s="211"/>
      <c r="H467" s="211"/>
      <c r="I467" s="211"/>
      <c r="J467" s="212"/>
      <c r="K467" s="206"/>
      <c r="L467" s="206"/>
      <c r="M467" s="206"/>
      <c r="N467" s="206"/>
      <c r="O467" s="209"/>
      <c r="P467" s="210"/>
      <c r="Q467" s="29">
        <f t="shared" si="38"/>
        <v>0</v>
      </c>
    </row>
    <row r="468" spans="2:17" ht="12.75" hidden="1">
      <c r="B468" s="15" t="s">
        <v>23</v>
      </c>
      <c r="C468" s="46"/>
      <c r="D468" s="6"/>
      <c r="E468" s="211">
        <f>4917.5+8200+5500</f>
        <v>18617.5</v>
      </c>
      <c r="F468" s="211">
        <f>1235.07+258.22</f>
        <v>1493.29</v>
      </c>
      <c r="G468" s="211">
        <f>76.85+149+93852+1691</f>
        <v>95768.85</v>
      </c>
      <c r="H468" s="211"/>
      <c r="I468" s="211"/>
      <c r="J468" s="206">
        <v>2152.15</v>
      </c>
      <c r="K468" s="206">
        <v>2092</v>
      </c>
      <c r="L468" s="206">
        <f>30915.73-0.01-29951.4</f>
        <v>964.3199999999997</v>
      </c>
      <c r="M468" s="205"/>
      <c r="N468" s="205"/>
      <c r="O468" s="209"/>
      <c r="P468" s="210"/>
      <c r="Q468" s="29">
        <f t="shared" si="38"/>
        <v>121088.11000000002</v>
      </c>
    </row>
    <row r="469" spans="2:17" ht="12.75" hidden="1">
      <c r="B469" s="15" t="s">
        <v>24</v>
      </c>
      <c r="C469" s="46"/>
      <c r="D469" s="6"/>
      <c r="E469" s="211"/>
      <c r="F469" s="211"/>
      <c r="G469" s="211"/>
      <c r="H469" s="211"/>
      <c r="I469" s="211"/>
      <c r="J469" s="212"/>
      <c r="K469" s="206"/>
      <c r="L469" s="206"/>
      <c r="M469" s="205"/>
      <c r="N469" s="205"/>
      <c r="O469" s="209"/>
      <c r="P469" s="210"/>
      <c r="Q469" s="29">
        <f t="shared" si="38"/>
        <v>0</v>
      </c>
    </row>
    <row r="470" spans="2:17" ht="12.75" hidden="1">
      <c r="B470" s="15" t="s">
        <v>25</v>
      </c>
      <c r="C470" s="46"/>
      <c r="D470" s="6"/>
      <c r="E470" s="211"/>
      <c r="F470" s="211"/>
      <c r="G470" s="211"/>
      <c r="H470" s="211"/>
      <c r="I470" s="211"/>
      <c r="J470" s="212"/>
      <c r="K470" s="206">
        <v>195</v>
      </c>
      <c r="L470" s="206"/>
      <c r="M470" s="206"/>
      <c r="N470" s="206"/>
      <c r="O470" s="209"/>
      <c r="P470" s="209"/>
      <c r="Q470" s="29">
        <f t="shared" si="38"/>
        <v>195</v>
      </c>
    </row>
    <row r="471" spans="2:17" ht="12.75" hidden="1">
      <c r="B471" s="15" t="s">
        <v>26</v>
      </c>
      <c r="C471" s="46"/>
      <c r="D471" s="6"/>
      <c r="E471" s="69">
        <f>5125</f>
        <v>5125</v>
      </c>
      <c r="F471" s="69"/>
      <c r="G471" s="69"/>
      <c r="H471" s="69"/>
      <c r="I471" s="69"/>
      <c r="J471" s="28"/>
      <c r="K471" s="21">
        <v>133</v>
      </c>
      <c r="L471" s="21"/>
      <c r="M471" s="21"/>
      <c r="N471" s="21"/>
      <c r="O471" s="1"/>
      <c r="P471" s="1"/>
      <c r="Q471" s="29">
        <f t="shared" si="38"/>
        <v>5258</v>
      </c>
    </row>
    <row r="472" spans="2:17" ht="12.75" hidden="1">
      <c r="B472" s="15" t="s">
        <v>27</v>
      </c>
      <c r="C472" s="46"/>
      <c r="D472" s="6"/>
      <c r="E472" s="69"/>
      <c r="F472" s="69"/>
      <c r="G472" s="69"/>
      <c r="H472" s="69"/>
      <c r="I472" s="69"/>
      <c r="J472" s="28"/>
      <c r="K472" s="21"/>
      <c r="L472" s="28"/>
      <c r="M472" s="21"/>
      <c r="N472" s="21"/>
      <c r="O472" s="1"/>
      <c r="P472" s="1"/>
      <c r="Q472" s="29">
        <f t="shared" si="38"/>
        <v>0</v>
      </c>
    </row>
    <row r="473" spans="2:17" ht="12.75" hidden="1">
      <c r="B473" s="15" t="s">
        <v>28</v>
      </c>
      <c r="C473" s="46"/>
      <c r="D473" s="6"/>
      <c r="E473" s="69">
        <f>5125</f>
        <v>5125</v>
      </c>
      <c r="F473" s="69"/>
      <c r="G473" s="69"/>
      <c r="H473" s="69"/>
      <c r="I473" s="69"/>
      <c r="J473" s="28"/>
      <c r="K473" s="21">
        <v>187</v>
      </c>
      <c r="L473" s="3"/>
      <c r="M473" s="21"/>
      <c r="N473" s="21"/>
      <c r="O473" s="1"/>
      <c r="P473" s="1"/>
      <c r="Q473" s="29">
        <f t="shared" si="38"/>
        <v>5312</v>
      </c>
    </row>
    <row r="474" spans="2:17" ht="12.75" hidden="1">
      <c r="B474" s="16" t="s">
        <v>29</v>
      </c>
      <c r="C474" s="46"/>
      <c r="D474" s="6"/>
      <c r="E474" s="69">
        <f>6150</f>
        <v>6150</v>
      </c>
      <c r="F474" s="69"/>
      <c r="G474" s="69"/>
      <c r="H474" s="69"/>
      <c r="I474" s="69"/>
      <c r="J474" s="28"/>
      <c r="K474" s="21">
        <f>144-911.18</f>
        <v>-767.18</v>
      </c>
      <c r="L474" s="3"/>
      <c r="M474" s="21"/>
      <c r="N474" s="21"/>
      <c r="O474" s="1"/>
      <c r="P474" s="1"/>
      <c r="Q474" s="29">
        <f t="shared" si="38"/>
        <v>5382.82</v>
      </c>
    </row>
    <row r="475" spans="2:17" ht="12.75" hidden="1">
      <c r="B475" s="15" t="s">
        <v>36</v>
      </c>
      <c r="C475" s="46"/>
      <c r="D475" s="6"/>
      <c r="E475" s="69"/>
      <c r="F475" s="69"/>
      <c r="G475" s="69"/>
      <c r="H475" s="69"/>
      <c r="I475" s="69"/>
      <c r="J475" s="28"/>
      <c r="K475" s="21"/>
      <c r="L475" s="33"/>
      <c r="M475" s="3"/>
      <c r="N475" s="3"/>
      <c r="O475" s="1"/>
      <c r="P475" s="1"/>
      <c r="Q475" s="29">
        <f t="shared" si="38"/>
        <v>0</v>
      </c>
    </row>
    <row r="476" spans="2:17" ht="6.75" customHeight="1" hidden="1" thickBot="1">
      <c r="B476" s="17" t="s">
        <v>32</v>
      </c>
      <c r="C476" s="49"/>
      <c r="D476" s="47"/>
      <c r="E476" s="69"/>
      <c r="F476" s="156"/>
      <c r="G476" s="69">
        <f>63.83</f>
        <v>63.83</v>
      </c>
      <c r="H476" s="156"/>
      <c r="I476" s="53"/>
      <c r="J476" s="30"/>
      <c r="K476" s="22"/>
      <c r="L476" s="55"/>
      <c r="M476" s="54"/>
      <c r="N476" s="54"/>
      <c r="O476" s="157"/>
      <c r="P476" s="157"/>
      <c r="Q476" s="29">
        <f t="shared" si="38"/>
        <v>63.83</v>
      </c>
    </row>
    <row r="477" spans="2:17" ht="14.25" customHeight="1" hidden="1" thickBot="1">
      <c r="B477" s="24" t="s">
        <v>12</v>
      </c>
      <c r="C477" s="9">
        <f>SUM(C465:C476)</f>
        <v>0</v>
      </c>
      <c r="D477" s="9">
        <f>SUM(D465:D476)</f>
        <v>0</v>
      </c>
      <c r="E477" s="238">
        <f>SUM(E446:E476)</f>
        <v>652064.71</v>
      </c>
      <c r="F477" s="238">
        <f aca="true" t="shared" si="39" ref="F477:P477">SUM(F446:F476)</f>
        <v>39885.74999999999</v>
      </c>
      <c r="G477" s="238">
        <f>SUM(G446:G476)</f>
        <v>157586.88999999998</v>
      </c>
      <c r="H477" s="238">
        <f>SUM(H446:H476)</f>
        <v>2356.27</v>
      </c>
      <c r="I477" s="238">
        <f t="shared" si="39"/>
        <v>487249.51</v>
      </c>
      <c r="J477" s="238">
        <f t="shared" si="39"/>
        <v>14231.189999999999</v>
      </c>
      <c r="K477" s="238">
        <f t="shared" si="39"/>
        <v>56943.04</v>
      </c>
      <c r="L477" s="238">
        <f>SUM(L446:L476)</f>
        <v>172255.11</v>
      </c>
      <c r="M477" s="238">
        <f t="shared" si="39"/>
        <v>4805.9299999999985</v>
      </c>
      <c r="N477" s="238">
        <f t="shared" si="39"/>
        <v>510</v>
      </c>
      <c r="O477" s="238">
        <f t="shared" si="39"/>
        <v>0</v>
      </c>
      <c r="P477" s="238">
        <f t="shared" si="39"/>
        <v>0</v>
      </c>
      <c r="Q477" s="19">
        <f>SUM(Q446:Q475)+Q476</f>
        <v>1587888.4000000004</v>
      </c>
    </row>
    <row r="478" spans="2:17" ht="8.25" customHeight="1" hidden="1" thickBot="1">
      <c r="B478" s="57"/>
      <c r="C478" s="158">
        <v>2110</v>
      </c>
      <c r="D478" s="158">
        <v>2111</v>
      </c>
      <c r="E478" s="239">
        <v>2210</v>
      </c>
      <c r="F478" s="240">
        <v>2230</v>
      </c>
      <c r="G478" s="240">
        <v>2240</v>
      </c>
      <c r="H478" s="240">
        <v>2250</v>
      </c>
      <c r="I478" s="240">
        <v>2271</v>
      </c>
      <c r="J478" s="241">
        <v>2272</v>
      </c>
      <c r="K478" s="241">
        <v>2273</v>
      </c>
      <c r="L478" s="240">
        <v>2274</v>
      </c>
      <c r="M478" s="240">
        <v>2275</v>
      </c>
      <c r="N478" s="139">
        <v>2800</v>
      </c>
      <c r="O478" s="93">
        <v>2730</v>
      </c>
      <c r="P478" s="11">
        <v>2282</v>
      </c>
      <c r="Q478" s="19">
        <f>E477+F477+G477+I477+J477+K477+L477+M477+N477+O477+P477</f>
        <v>1585532.1299999997</v>
      </c>
    </row>
    <row r="479" spans="2:17" ht="5.25" customHeight="1" hidden="1">
      <c r="B479" s="51"/>
      <c r="C479" s="51"/>
      <c r="D479" s="51"/>
      <c r="E479" s="145">
        <f>235035.2+30493+255689.59</f>
        <v>521217.79000000004</v>
      </c>
      <c r="F479" s="145">
        <f>39885.75</f>
        <v>39885.75</v>
      </c>
      <c r="G479" s="145">
        <f>146986.91</f>
        <v>146986.91</v>
      </c>
      <c r="H479" s="145">
        <f>2356.27</f>
        <v>2356.27</v>
      </c>
      <c r="I479" s="145">
        <f>487249.51</f>
        <v>487249.51</v>
      </c>
      <c r="J479" s="227">
        <f>14707.86</f>
        <v>14707.86</v>
      </c>
      <c r="K479" s="227">
        <f>113040.23</f>
        <v>113040.23</v>
      </c>
      <c r="L479" s="145">
        <f>379966.8</f>
        <v>379966.8</v>
      </c>
      <c r="M479" s="145">
        <f>31350</f>
        <v>31350</v>
      </c>
      <c r="N479" s="145">
        <f>510</f>
        <v>510</v>
      </c>
      <c r="O479" s="227"/>
      <c r="P479" s="227"/>
      <c r="Q479" s="141">
        <f>SUM(E479:P479)</f>
        <v>1737271.12</v>
      </c>
    </row>
    <row r="480" spans="2:17" ht="9.75" customHeight="1" hidden="1">
      <c r="B480" s="249" t="s">
        <v>12</v>
      </c>
      <c r="C480" s="65"/>
      <c r="D480" s="65"/>
      <c r="E480" s="294">
        <f aca="true" t="shared" si="40" ref="E480:P480">SUM(E479)</f>
        <v>521217.79000000004</v>
      </c>
      <c r="F480" s="294">
        <f t="shared" si="40"/>
        <v>39885.75</v>
      </c>
      <c r="G480" s="294">
        <f t="shared" si="40"/>
        <v>146986.91</v>
      </c>
      <c r="H480" s="294">
        <f t="shared" si="40"/>
        <v>2356.27</v>
      </c>
      <c r="I480" s="294">
        <f t="shared" si="40"/>
        <v>487249.51</v>
      </c>
      <c r="J480" s="294">
        <f t="shared" si="40"/>
        <v>14707.86</v>
      </c>
      <c r="K480" s="294">
        <f t="shared" si="40"/>
        <v>113040.23</v>
      </c>
      <c r="L480" s="294">
        <f t="shared" si="40"/>
        <v>379966.8</v>
      </c>
      <c r="M480" s="294">
        <f t="shared" si="40"/>
        <v>31350</v>
      </c>
      <c r="N480" s="294">
        <f t="shared" si="40"/>
        <v>510</v>
      </c>
      <c r="O480" s="294">
        <f t="shared" si="40"/>
        <v>0</v>
      </c>
      <c r="P480" s="294">
        <f t="shared" si="40"/>
        <v>0</v>
      </c>
      <c r="Q480" s="294">
        <f>SUM(E480:P480)</f>
        <v>1737271.12</v>
      </c>
    </row>
    <row r="481" spans="2:17" ht="15.75" hidden="1">
      <c r="B481" s="52"/>
      <c r="C481" s="52"/>
      <c r="D481" s="52"/>
      <c r="E481" s="52"/>
      <c r="F481" s="52"/>
      <c r="G481" s="52"/>
      <c r="H481" s="52"/>
      <c r="I481" s="52"/>
      <c r="J481" s="52"/>
      <c r="K481" s="316"/>
      <c r="L481" s="52"/>
      <c r="M481" s="52"/>
      <c r="N481" s="52"/>
      <c r="O481" s="52"/>
      <c r="P481" s="52"/>
      <c r="Q481" s="52"/>
    </row>
    <row r="482" spans="2:17" ht="15.75">
      <c r="B482" s="52"/>
      <c r="C482" s="52"/>
      <c r="D482" s="52"/>
      <c r="E482" s="52"/>
      <c r="F482" s="52"/>
      <c r="G482" s="52"/>
      <c r="H482" s="52"/>
      <c r="I482" s="52"/>
      <c r="J482" s="52"/>
      <c r="K482" s="316"/>
      <c r="L482" s="52"/>
      <c r="M482" s="52"/>
      <c r="N482" s="52"/>
      <c r="O482" s="52"/>
      <c r="P482" s="52"/>
      <c r="Q482" s="52"/>
    </row>
    <row r="483" spans="2:17" ht="15.75">
      <c r="B483" s="52"/>
      <c r="C483" s="52"/>
      <c r="D483" s="52"/>
      <c r="E483" s="52"/>
      <c r="F483" s="52"/>
      <c r="G483" s="52"/>
      <c r="H483" s="52"/>
      <c r="I483" s="52"/>
      <c r="J483" s="52"/>
      <c r="K483" s="316"/>
      <c r="L483" s="52"/>
      <c r="M483" s="52"/>
      <c r="N483" s="52"/>
      <c r="O483" s="52"/>
      <c r="P483" s="52"/>
      <c r="Q483" s="52"/>
    </row>
    <row r="484" spans="2:17" ht="15.7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2:17" ht="16.5" thickBot="1">
      <c r="B485" s="360" t="s">
        <v>52</v>
      </c>
      <c r="C485" s="360"/>
      <c r="D485" s="360"/>
      <c r="E485" s="360"/>
      <c r="F485" s="360"/>
      <c r="G485" s="360"/>
      <c r="H485" s="360"/>
      <c r="I485" s="360"/>
      <c r="J485" s="360"/>
      <c r="K485" s="360"/>
      <c r="L485" s="360"/>
      <c r="M485" s="360"/>
      <c r="N485" s="360"/>
      <c r="O485" s="360"/>
      <c r="P485" s="360"/>
      <c r="Q485" s="360"/>
    </row>
    <row r="486" spans="1:17" ht="13.5" thickBot="1">
      <c r="A486" s="251"/>
      <c r="B486" s="298" t="s">
        <v>31</v>
      </c>
      <c r="C486" s="159">
        <v>2111</v>
      </c>
      <c r="D486" s="329">
        <v>2120</v>
      </c>
      <c r="E486" s="159">
        <v>2210</v>
      </c>
      <c r="F486" s="92">
        <v>2230</v>
      </c>
      <c r="G486" s="92">
        <v>2240</v>
      </c>
      <c r="H486" s="92">
        <v>2250</v>
      </c>
      <c r="I486" s="92">
        <v>2271</v>
      </c>
      <c r="J486" s="11">
        <v>2272</v>
      </c>
      <c r="K486" s="11">
        <v>2273</v>
      </c>
      <c r="L486" s="93">
        <v>2274</v>
      </c>
      <c r="M486" s="93">
        <v>2275</v>
      </c>
      <c r="N486" s="240">
        <v>2800</v>
      </c>
      <c r="O486" s="93">
        <v>2730</v>
      </c>
      <c r="P486" s="11">
        <v>2282</v>
      </c>
      <c r="Q486" s="326" t="s">
        <v>53</v>
      </c>
    </row>
    <row r="487" spans="1:17" ht="12.75">
      <c r="A487" s="255">
        <v>1</v>
      </c>
      <c r="B487" s="252" t="s">
        <v>0</v>
      </c>
      <c r="C487" s="149">
        <f>1764079.92+490343.13</f>
        <v>2254423.05</v>
      </c>
      <c r="D487" s="69">
        <f>C487*0.22022</f>
        <v>496469.04407099995</v>
      </c>
      <c r="E487" s="190">
        <v>182102.72</v>
      </c>
      <c r="F487" s="190">
        <f aca="true" t="shared" si="41" ref="F487:O487">F7+F45+F83+F121+F160+F199+F240+F280+F363+F320+F405+F446</f>
        <v>16533.59</v>
      </c>
      <c r="G487" s="190">
        <f t="shared" si="41"/>
        <v>14829.662</v>
      </c>
      <c r="H487" s="190">
        <f t="shared" si="41"/>
        <v>0</v>
      </c>
      <c r="I487" s="190">
        <f t="shared" si="41"/>
        <v>0</v>
      </c>
      <c r="J487" s="190">
        <f t="shared" si="41"/>
        <v>0</v>
      </c>
      <c r="K487" s="190">
        <f>K7+K45+K83+K121+K160+K199+K240+K280+K363+K320+K405+K446</f>
        <v>8994.323559999999</v>
      </c>
      <c r="L487" s="190">
        <f t="shared" si="41"/>
        <v>0</v>
      </c>
      <c r="M487" s="190">
        <f t="shared" si="41"/>
        <v>177184.15</v>
      </c>
      <c r="N487" s="190">
        <f t="shared" si="41"/>
        <v>10.16</v>
      </c>
      <c r="O487" s="190">
        <f t="shared" si="41"/>
        <v>0</v>
      </c>
      <c r="P487" s="330">
        <v>380</v>
      </c>
      <c r="Q487" s="328">
        <f>P487+O487+N487+M487+L487+K487+J487+I487+H487+G487+F487+E487+D487+C487</f>
        <v>3150926.699631</v>
      </c>
    </row>
    <row r="488" spans="1:17" ht="12.75">
      <c r="A488" s="256">
        <v>2</v>
      </c>
      <c r="B488" s="253" t="s">
        <v>1</v>
      </c>
      <c r="C488" s="150">
        <f>1881463.84+517676.93</f>
        <v>2399140.77</v>
      </c>
      <c r="D488" s="69">
        <f>C488*0.22022</f>
        <v>528338.7803694</v>
      </c>
      <c r="E488" s="190">
        <v>164602.92</v>
      </c>
      <c r="F488" s="190">
        <f aca="true" t="shared" si="42" ref="E488:K497">F8+F46+F84+F122+F161+F200+F241+F281+F364+F321+F406+F447</f>
        <v>28909.089999999997</v>
      </c>
      <c r="G488" s="190">
        <f t="shared" si="42"/>
        <v>19206.26</v>
      </c>
      <c r="H488" s="190">
        <f t="shared" si="42"/>
        <v>491.34</v>
      </c>
      <c r="I488" s="190">
        <f t="shared" si="42"/>
        <v>0</v>
      </c>
      <c r="J488" s="190">
        <f t="shared" si="42"/>
        <v>0</v>
      </c>
      <c r="K488" s="190">
        <f t="shared" si="42"/>
        <v>22797.523555999996</v>
      </c>
      <c r="L488" s="190">
        <f>L8+L46+L84+L122+L161+L200+L241+L281+L364+L321+L406+L447-0.01</f>
        <v>228763.95999999996</v>
      </c>
      <c r="M488" s="190">
        <f aca="true" t="shared" si="43" ref="M488:P509">M8+M46+M84+M122+M161+M200+M241+M281+M364+M321+M406+M447</f>
        <v>0</v>
      </c>
      <c r="N488" s="190">
        <f t="shared" si="43"/>
        <v>10.17</v>
      </c>
      <c r="O488" s="190">
        <f t="shared" si="43"/>
        <v>0</v>
      </c>
      <c r="P488" s="330">
        <v>836</v>
      </c>
      <c r="Q488" s="328">
        <f aca="true" t="shared" si="44" ref="Q488:Q516">P488+O488+N488+M488+L488+K488+J488+I488+H488+G488+F488+E488+D488+C488</f>
        <v>3393096.8139254</v>
      </c>
    </row>
    <row r="489" spans="1:17" ht="12.75">
      <c r="A489" s="256">
        <v>3</v>
      </c>
      <c r="B489" s="253" t="s">
        <v>2</v>
      </c>
      <c r="C489" s="150"/>
      <c r="D489" s="69"/>
      <c r="E489" s="190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330"/>
      <c r="Q489" s="328">
        <f t="shared" si="44"/>
        <v>0</v>
      </c>
    </row>
    <row r="490" spans="1:17" ht="12.75">
      <c r="A490" s="256">
        <v>4</v>
      </c>
      <c r="B490" s="253" t="s">
        <v>3</v>
      </c>
      <c r="C490" s="150">
        <f>1762484.17+401173.64</f>
        <v>2163657.81</v>
      </c>
      <c r="D490" s="69">
        <f>C490*0.22022</f>
        <v>476480.7229182</v>
      </c>
      <c r="E490" s="190">
        <f t="shared" si="42"/>
        <v>40357.08</v>
      </c>
      <c r="F490" s="190">
        <f t="shared" si="42"/>
        <v>19840.73</v>
      </c>
      <c r="G490" s="190">
        <f t="shared" si="42"/>
        <v>19108.92</v>
      </c>
      <c r="H490" s="190">
        <f aca="true" t="shared" si="45" ref="H490:H497">H10+H48+H86+H124+H163+H202+H243+H283+H366+H323+H408+H449</f>
        <v>319</v>
      </c>
      <c r="I490" s="190">
        <f t="shared" si="42"/>
        <v>0</v>
      </c>
      <c r="J490" s="190">
        <f t="shared" si="42"/>
        <v>0</v>
      </c>
      <c r="K490" s="190">
        <f t="shared" si="42"/>
        <v>21771.766308</v>
      </c>
      <c r="L490" s="190">
        <f aca="true" t="shared" si="46" ref="L490:L509">L10+L48+L86+L124+L163+L202+L243+L283+L366+L323+L408+L449</f>
        <v>173728.87999999998</v>
      </c>
      <c r="M490" s="190">
        <f t="shared" si="43"/>
        <v>0</v>
      </c>
      <c r="N490" s="190">
        <f t="shared" si="43"/>
        <v>10.16</v>
      </c>
      <c r="O490" s="190">
        <f t="shared" si="43"/>
        <v>0</v>
      </c>
      <c r="P490" s="330">
        <f t="shared" si="43"/>
        <v>1136</v>
      </c>
      <c r="Q490" s="328">
        <f t="shared" si="44"/>
        <v>2916411.0692261998</v>
      </c>
    </row>
    <row r="491" spans="1:17" ht="12.75">
      <c r="A491" s="256">
        <v>5</v>
      </c>
      <c r="B491" s="253" t="s">
        <v>4</v>
      </c>
      <c r="C491" s="150">
        <f>1820341.68+386970.48</f>
        <v>2207312.16</v>
      </c>
      <c r="D491" s="69">
        <f>C491*0.22022</f>
        <v>486094.2838752</v>
      </c>
      <c r="E491" s="190">
        <f t="shared" si="42"/>
        <v>88046.16</v>
      </c>
      <c r="F491" s="190">
        <f t="shared" si="42"/>
        <v>6680.6</v>
      </c>
      <c r="G491" s="190">
        <f t="shared" si="42"/>
        <v>4310.94</v>
      </c>
      <c r="H491" s="190">
        <f t="shared" si="45"/>
        <v>0</v>
      </c>
      <c r="I491" s="190">
        <f t="shared" si="42"/>
        <v>0</v>
      </c>
      <c r="J491" s="190">
        <f t="shared" si="42"/>
        <v>0</v>
      </c>
      <c r="K491" s="190">
        <f t="shared" si="42"/>
        <v>20508.022868</v>
      </c>
      <c r="L491" s="190">
        <f t="shared" si="46"/>
        <v>0</v>
      </c>
      <c r="M491" s="190">
        <f t="shared" si="43"/>
        <v>63308.35</v>
      </c>
      <c r="N491" s="190">
        <f t="shared" si="43"/>
        <v>10.17</v>
      </c>
      <c r="O491" s="190">
        <f t="shared" si="43"/>
        <v>0</v>
      </c>
      <c r="P491" s="330">
        <f t="shared" si="43"/>
        <v>320</v>
      </c>
      <c r="Q491" s="328">
        <f t="shared" si="44"/>
        <v>2876590.6867432003</v>
      </c>
    </row>
    <row r="492" spans="1:17" ht="12.75">
      <c r="A492" s="256">
        <v>6</v>
      </c>
      <c r="B492" s="253" t="s">
        <v>5</v>
      </c>
      <c r="C492" s="150">
        <f>6081955.94+1506202.59+10549.04</f>
        <v>7598707.57</v>
      </c>
      <c r="D492" s="69">
        <f>C492*0.22022-2541.25-14449.47</f>
        <v>1656396.6610654</v>
      </c>
      <c r="E492" s="190">
        <v>485482.1</v>
      </c>
      <c r="F492" s="190">
        <f>F12+F50+F88+F126+F165+F204+F245+F285+F368+F325+F410+F451+4010.63</f>
        <v>89771.95999999999</v>
      </c>
      <c r="G492" s="190">
        <f>G12+G50+G88+G126+G165+G204+G245+G285+G368+G325+G410+G451+8796.87</f>
        <v>48805.33000000001</v>
      </c>
      <c r="H492" s="190">
        <f t="shared" si="45"/>
        <v>382.55</v>
      </c>
      <c r="I492" s="190">
        <f t="shared" si="42"/>
        <v>902898.32</v>
      </c>
      <c r="J492" s="190">
        <f t="shared" si="42"/>
        <v>51244.240000000005</v>
      </c>
      <c r="K492" s="190">
        <f>K12+K50+K88+K126+K165+K204+K245+K285+K368+K325+K410+K451+287.67</f>
        <v>137677.19089600001</v>
      </c>
      <c r="L492" s="190">
        <f t="shared" si="46"/>
        <v>0</v>
      </c>
      <c r="M492" s="190">
        <f t="shared" si="43"/>
        <v>0</v>
      </c>
      <c r="N492" s="190">
        <f t="shared" si="43"/>
        <v>583.39</v>
      </c>
      <c r="O492" s="190">
        <f t="shared" si="43"/>
        <v>0</v>
      </c>
      <c r="P492" s="330">
        <v>1046</v>
      </c>
      <c r="Q492" s="328">
        <f t="shared" si="44"/>
        <v>10972995.311961401</v>
      </c>
    </row>
    <row r="493" spans="1:17" ht="12.75">
      <c r="A493" s="256">
        <v>7</v>
      </c>
      <c r="B493" s="253" t="s">
        <v>6</v>
      </c>
      <c r="C493" s="150">
        <f>2003520.73+524943.34</f>
        <v>2528464.07</v>
      </c>
      <c r="D493" s="69">
        <f>C493*0.22022</f>
        <v>556818.3574954</v>
      </c>
      <c r="E493" s="190">
        <f t="shared" si="42"/>
        <v>70750.32</v>
      </c>
      <c r="F493" s="190">
        <f t="shared" si="42"/>
        <v>11500.9</v>
      </c>
      <c r="G493" s="190">
        <f t="shared" si="42"/>
        <v>6329.121999999999</v>
      </c>
      <c r="H493" s="190">
        <f t="shared" si="45"/>
        <v>0</v>
      </c>
      <c r="I493" s="190">
        <f t="shared" si="42"/>
        <v>0</v>
      </c>
      <c r="J493" s="190">
        <f t="shared" si="42"/>
        <v>4304.3</v>
      </c>
      <c r="K493" s="190">
        <f t="shared" si="42"/>
        <v>41984.5332</v>
      </c>
      <c r="L493" s="190">
        <f t="shared" si="46"/>
        <v>0</v>
      </c>
      <c r="M493" s="190">
        <f t="shared" si="43"/>
        <v>136430.72</v>
      </c>
      <c r="N493" s="190">
        <f t="shared" si="43"/>
        <v>10.17</v>
      </c>
      <c r="O493" s="190">
        <f t="shared" si="43"/>
        <v>0</v>
      </c>
      <c r="P493" s="330">
        <v>866</v>
      </c>
      <c r="Q493" s="328">
        <f t="shared" si="44"/>
        <v>3357458.4926953996</v>
      </c>
    </row>
    <row r="494" spans="1:17" ht="12.75">
      <c r="A494" s="256">
        <v>8</v>
      </c>
      <c r="B494" s="253" t="s">
        <v>7</v>
      </c>
      <c r="C494" s="150">
        <f>1849787.58+403126.08</f>
        <v>2252913.66</v>
      </c>
      <c r="D494" s="69">
        <f>C494*0.22022</f>
        <v>496136.64620520006</v>
      </c>
      <c r="E494" s="190">
        <f t="shared" si="42"/>
        <v>99781.08</v>
      </c>
      <c r="F494" s="190">
        <f t="shared" si="42"/>
        <v>7201.399999999999</v>
      </c>
      <c r="G494" s="190">
        <f t="shared" si="42"/>
        <v>9436.536</v>
      </c>
      <c r="H494" s="190">
        <f t="shared" si="45"/>
        <v>232.41</v>
      </c>
      <c r="I494" s="190">
        <f t="shared" si="42"/>
        <v>0</v>
      </c>
      <c r="J494" s="190">
        <f t="shared" si="42"/>
        <v>4030.3899999999994</v>
      </c>
      <c r="K494" s="190">
        <f t="shared" si="42"/>
        <v>57670.130908</v>
      </c>
      <c r="L494" s="190">
        <f t="shared" si="46"/>
        <v>0</v>
      </c>
      <c r="M494" s="190">
        <f t="shared" si="43"/>
        <v>75413.25</v>
      </c>
      <c r="N494" s="190">
        <f t="shared" si="43"/>
        <v>10.16</v>
      </c>
      <c r="O494" s="190">
        <f t="shared" si="43"/>
        <v>0</v>
      </c>
      <c r="P494" s="330">
        <f t="shared" si="43"/>
        <v>836</v>
      </c>
      <c r="Q494" s="328">
        <f t="shared" si="44"/>
        <v>3003661.6631132</v>
      </c>
    </row>
    <row r="495" spans="1:17" ht="12.75">
      <c r="A495" s="256">
        <v>9</v>
      </c>
      <c r="B495" s="253" t="s">
        <v>8</v>
      </c>
      <c r="C495" s="150">
        <f>1926035.75+403883.47</f>
        <v>2329919.2199999997</v>
      </c>
      <c r="D495" s="69">
        <f>C495*0.22022</f>
        <v>513094.81062839995</v>
      </c>
      <c r="E495" s="190">
        <f t="shared" si="42"/>
        <v>51752.18</v>
      </c>
      <c r="F495" s="190">
        <f t="shared" si="42"/>
        <v>18390.49</v>
      </c>
      <c r="G495" s="190">
        <f t="shared" si="42"/>
        <v>17805.379999999997</v>
      </c>
      <c r="H495" s="190">
        <f t="shared" si="45"/>
        <v>585.6</v>
      </c>
      <c r="I495" s="190">
        <f t="shared" si="42"/>
        <v>647948.9199999999</v>
      </c>
      <c r="J495" s="190">
        <f t="shared" si="42"/>
        <v>3991.26</v>
      </c>
      <c r="K495" s="190">
        <f t="shared" si="42"/>
        <v>31327.567687999996</v>
      </c>
      <c r="L495" s="190">
        <f t="shared" si="46"/>
        <v>0</v>
      </c>
      <c r="M495" s="190">
        <f t="shared" si="43"/>
        <v>0</v>
      </c>
      <c r="N495" s="190">
        <f t="shared" si="43"/>
        <v>10.17</v>
      </c>
      <c r="O495" s="190">
        <f t="shared" si="43"/>
        <v>0</v>
      </c>
      <c r="P495" s="330">
        <f t="shared" si="43"/>
        <v>806</v>
      </c>
      <c r="Q495" s="328">
        <f t="shared" si="44"/>
        <v>3615631.5983163994</v>
      </c>
    </row>
    <row r="496" spans="1:17" ht="12.75">
      <c r="A496" s="256">
        <v>10</v>
      </c>
      <c r="B496" s="253" t="s">
        <v>9</v>
      </c>
      <c r="C496" s="150">
        <f>2247007.23+551549.17</f>
        <v>2798556.4</v>
      </c>
      <c r="D496" s="69">
        <f>C496*0.22022</f>
        <v>616298.0904079999</v>
      </c>
      <c r="E496" s="190">
        <v>93362.62</v>
      </c>
      <c r="F496" s="190">
        <f t="shared" si="42"/>
        <v>25691.41</v>
      </c>
      <c r="G496" s="190">
        <f t="shared" si="42"/>
        <v>27250.26</v>
      </c>
      <c r="H496" s="190">
        <f t="shared" si="45"/>
        <v>0</v>
      </c>
      <c r="I496" s="190">
        <f t="shared" si="42"/>
        <v>0</v>
      </c>
      <c r="J496" s="190">
        <f t="shared" si="42"/>
        <v>0</v>
      </c>
      <c r="K496" s="190">
        <f t="shared" si="42"/>
        <v>33705.625503999996</v>
      </c>
      <c r="L496" s="190">
        <f t="shared" si="46"/>
        <v>233623.72999999998</v>
      </c>
      <c r="M496" s="190">
        <f t="shared" si="43"/>
        <v>0</v>
      </c>
      <c r="N496" s="190">
        <f t="shared" si="43"/>
        <v>10.16</v>
      </c>
      <c r="O496" s="190">
        <f t="shared" si="43"/>
        <v>0</v>
      </c>
      <c r="P496" s="330">
        <f t="shared" si="43"/>
        <v>704</v>
      </c>
      <c r="Q496" s="328">
        <f t="shared" si="44"/>
        <v>3829202.295912</v>
      </c>
    </row>
    <row r="497" spans="1:17" ht="12.75">
      <c r="A497" s="256">
        <v>11</v>
      </c>
      <c r="B497" s="253" t="s">
        <v>10</v>
      </c>
      <c r="C497" s="150">
        <f>1879181.63+334616.35</f>
        <v>2213797.98</v>
      </c>
      <c r="D497" s="69">
        <f>C497*0.22022</f>
        <v>487522.5911556</v>
      </c>
      <c r="E497" s="190">
        <f t="shared" si="42"/>
        <v>58453.740000000005</v>
      </c>
      <c r="F497" s="190">
        <f t="shared" si="42"/>
        <v>22166.98</v>
      </c>
      <c r="G497" s="190">
        <f t="shared" si="42"/>
        <v>5924.320000000001</v>
      </c>
      <c r="H497" s="190">
        <f t="shared" si="45"/>
        <v>0</v>
      </c>
      <c r="I497" s="190">
        <f t="shared" si="42"/>
        <v>0</v>
      </c>
      <c r="J497" s="190">
        <f t="shared" si="42"/>
        <v>3795.6099999999997</v>
      </c>
      <c r="K497" s="190">
        <f t="shared" si="42"/>
        <v>11814.583907999999</v>
      </c>
      <c r="L497" s="190">
        <f t="shared" si="46"/>
        <v>0</v>
      </c>
      <c r="M497" s="190">
        <f t="shared" si="43"/>
        <v>79457.6</v>
      </c>
      <c r="N497" s="190">
        <f t="shared" si="43"/>
        <v>10.17</v>
      </c>
      <c r="O497" s="190">
        <f t="shared" si="43"/>
        <v>0</v>
      </c>
      <c r="P497" s="330">
        <v>806</v>
      </c>
      <c r="Q497" s="328">
        <f t="shared" si="44"/>
        <v>2883749.5750636</v>
      </c>
    </row>
    <row r="498" spans="1:17" ht="12.75">
      <c r="A498" s="256">
        <v>12</v>
      </c>
      <c r="B498" s="253" t="s">
        <v>11</v>
      </c>
      <c r="C498" s="150"/>
      <c r="D498" s="69"/>
      <c r="E498" s="190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330"/>
      <c r="Q498" s="328">
        <f t="shared" si="44"/>
        <v>0</v>
      </c>
    </row>
    <row r="499" spans="1:17" ht="12.75">
      <c r="A499" s="256">
        <v>13</v>
      </c>
      <c r="B499" s="253" t="s">
        <v>13</v>
      </c>
      <c r="C499" s="150">
        <f>984838.75+208106.25</f>
        <v>1192945</v>
      </c>
      <c r="D499" s="69">
        <f aca="true" t="shared" si="47" ref="D499:D517">C499*0.22022</f>
        <v>262710.3479</v>
      </c>
      <c r="E499" s="190">
        <f aca="true" t="shared" si="48" ref="E499:K507">E19+E57+E95+E133+E172+E211+E252+E292+E375+E332+E417+E458</f>
        <v>33669</v>
      </c>
      <c r="F499" s="190">
        <f t="shared" si="48"/>
        <v>2853.2799999999997</v>
      </c>
      <c r="G499" s="190">
        <f t="shared" si="48"/>
        <v>20221.114</v>
      </c>
      <c r="H499" s="190">
        <f t="shared" si="48"/>
        <v>180</v>
      </c>
      <c r="I499" s="190">
        <f t="shared" si="48"/>
        <v>0</v>
      </c>
      <c r="J499" s="190">
        <f t="shared" si="48"/>
        <v>0</v>
      </c>
      <c r="K499" s="190">
        <f t="shared" si="48"/>
        <v>7546.112739999999</v>
      </c>
      <c r="L499" s="190">
        <f t="shared" si="46"/>
        <v>129249.59</v>
      </c>
      <c r="M499" s="190">
        <f t="shared" si="43"/>
        <v>0</v>
      </c>
      <c r="N499" s="190">
        <f t="shared" si="43"/>
        <v>10.16</v>
      </c>
      <c r="O499" s="190">
        <f t="shared" si="43"/>
        <v>0</v>
      </c>
      <c r="P499" s="330">
        <v>806</v>
      </c>
      <c r="Q499" s="328">
        <f t="shared" si="44"/>
        <v>1650190.60464</v>
      </c>
    </row>
    <row r="500" spans="1:17" ht="12.75">
      <c r="A500" s="256">
        <v>14</v>
      </c>
      <c r="B500" s="253" t="s">
        <v>14</v>
      </c>
      <c r="C500" s="150">
        <f>1440463.65+256841.59</f>
        <v>1697305.24</v>
      </c>
      <c r="D500" s="69">
        <f t="shared" si="47"/>
        <v>373780.5599528</v>
      </c>
      <c r="E500" s="190">
        <f t="shared" si="48"/>
        <v>120338.912</v>
      </c>
      <c r="F500" s="190">
        <f t="shared" si="48"/>
        <v>12043.700000000003</v>
      </c>
      <c r="G500" s="190">
        <f t="shared" si="48"/>
        <v>9827.89</v>
      </c>
      <c r="H500" s="190">
        <f t="shared" si="48"/>
        <v>0</v>
      </c>
      <c r="I500" s="190">
        <f t="shared" si="48"/>
        <v>0</v>
      </c>
      <c r="J500" s="190">
        <f t="shared" si="48"/>
        <v>2426.0599999999995</v>
      </c>
      <c r="K500" s="190">
        <f t="shared" si="48"/>
        <v>15717.503555999998</v>
      </c>
      <c r="L500" s="190">
        <f t="shared" si="46"/>
        <v>0</v>
      </c>
      <c r="M500" s="190">
        <f t="shared" si="43"/>
        <v>37782.8</v>
      </c>
      <c r="N500" s="190">
        <f t="shared" si="43"/>
        <v>10.17</v>
      </c>
      <c r="O500" s="190">
        <f t="shared" si="43"/>
        <v>0</v>
      </c>
      <c r="P500" s="330">
        <f t="shared" si="43"/>
        <v>926</v>
      </c>
      <c r="Q500" s="328">
        <f t="shared" si="44"/>
        <v>2270158.8355088</v>
      </c>
    </row>
    <row r="501" spans="1:17" ht="12.75">
      <c r="A501" s="256">
        <v>15</v>
      </c>
      <c r="B501" s="253" t="s">
        <v>15</v>
      </c>
      <c r="C501" s="150">
        <f>1243045.6+214915.02</f>
        <v>1457960.62</v>
      </c>
      <c r="D501" s="69">
        <f t="shared" si="47"/>
        <v>321072.0877364</v>
      </c>
      <c r="E501" s="190">
        <f t="shared" si="48"/>
        <v>55446.72</v>
      </c>
      <c r="F501" s="190">
        <f t="shared" si="48"/>
        <v>4810.23</v>
      </c>
      <c r="G501" s="190">
        <f t="shared" si="48"/>
        <v>7340.24</v>
      </c>
      <c r="H501" s="190">
        <f t="shared" si="48"/>
        <v>0</v>
      </c>
      <c r="I501" s="190">
        <f t="shared" si="48"/>
        <v>0</v>
      </c>
      <c r="J501" s="190">
        <f t="shared" si="48"/>
        <v>0</v>
      </c>
      <c r="K501" s="190">
        <f t="shared" si="48"/>
        <v>13194.263787999998</v>
      </c>
      <c r="L501" s="190">
        <f t="shared" si="46"/>
        <v>0</v>
      </c>
      <c r="M501" s="190">
        <f t="shared" si="43"/>
        <v>46536</v>
      </c>
      <c r="N501" s="190">
        <f t="shared" si="43"/>
        <v>10.16</v>
      </c>
      <c r="O501" s="190">
        <f t="shared" si="43"/>
        <v>0</v>
      </c>
      <c r="P501" s="330">
        <f t="shared" si="43"/>
        <v>320</v>
      </c>
      <c r="Q501" s="328">
        <f t="shared" si="44"/>
        <v>1906690.3215244003</v>
      </c>
    </row>
    <row r="502" spans="1:17" ht="12.75">
      <c r="A502" s="256">
        <v>16</v>
      </c>
      <c r="B502" s="253" t="s">
        <v>16</v>
      </c>
      <c r="C502" s="150"/>
      <c r="D502" s="69"/>
      <c r="E502" s="190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330"/>
      <c r="Q502" s="328">
        <f t="shared" si="44"/>
        <v>0</v>
      </c>
    </row>
    <row r="503" spans="1:17" ht="12.75">
      <c r="A503" s="256">
        <v>17</v>
      </c>
      <c r="B503" s="253" t="s">
        <v>17</v>
      </c>
      <c r="C503" s="150">
        <f>1300508.04+261973.03</f>
        <v>1562481.07</v>
      </c>
      <c r="D503" s="69">
        <f t="shared" si="47"/>
        <v>344089.5812354</v>
      </c>
      <c r="E503" s="190">
        <v>122371.09</v>
      </c>
      <c r="F503" s="190">
        <f t="shared" si="48"/>
        <v>8110.780000000001</v>
      </c>
      <c r="G503" s="190">
        <f t="shared" si="48"/>
        <v>14783.809999999998</v>
      </c>
      <c r="H503" s="190">
        <f t="shared" si="48"/>
        <v>0</v>
      </c>
      <c r="I503" s="190">
        <f t="shared" si="48"/>
        <v>0</v>
      </c>
      <c r="J503" s="190">
        <f t="shared" si="48"/>
        <v>0</v>
      </c>
      <c r="K503" s="190">
        <f t="shared" si="48"/>
        <v>13572.48304</v>
      </c>
      <c r="L503" s="190">
        <f t="shared" si="46"/>
        <v>0</v>
      </c>
      <c r="M503" s="190">
        <f t="shared" si="43"/>
        <v>65838.45999999999</v>
      </c>
      <c r="N503" s="190">
        <f t="shared" si="43"/>
        <v>10.17</v>
      </c>
      <c r="O503" s="190">
        <f t="shared" si="43"/>
        <v>0</v>
      </c>
      <c r="P503" s="330">
        <f t="shared" si="43"/>
        <v>806</v>
      </c>
      <c r="Q503" s="328">
        <f t="shared" si="44"/>
        <v>2132063.4442754</v>
      </c>
    </row>
    <row r="504" spans="1:17" ht="12.75">
      <c r="A504" s="256">
        <v>18</v>
      </c>
      <c r="B504" s="253" t="s">
        <v>18</v>
      </c>
      <c r="C504" s="150">
        <f>1577835.87+419196.62</f>
        <v>1997032.4900000002</v>
      </c>
      <c r="D504" s="69">
        <f t="shared" si="47"/>
        <v>439786.49494780006</v>
      </c>
      <c r="E504" s="190">
        <f t="shared" si="48"/>
        <v>51215.78</v>
      </c>
      <c r="F504" s="190">
        <f t="shared" si="48"/>
        <v>8822.23</v>
      </c>
      <c r="G504" s="190">
        <f t="shared" si="48"/>
        <v>19890.352000000003</v>
      </c>
      <c r="H504" s="190">
        <f t="shared" si="48"/>
        <v>393.52</v>
      </c>
      <c r="I504" s="190">
        <f t="shared" si="48"/>
        <v>0</v>
      </c>
      <c r="J504" s="190">
        <f t="shared" si="48"/>
        <v>3161.14</v>
      </c>
      <c r="K504" s="190">
        <f t="shared" si="48"/>
        <v>17935.293555999997</v>
      </c>
      <c r="L504" s="190">
        <f t="shared" si="46"/>
        <v>168613.14999999997</v>
      </c>
      <c r="M504" s="190">
        <f t="shared" si="43"/>
        <v>0</v>
      </c>
      <c r="N504" s="190">
        <f t="shared" si="43"/>
        <v>10.16</v>
      </c>
      <c r="O504" s="190">
        <f t="shared" si="43"/>
        <v>0</v>
      </c>
      <c r="P504" s="330">
        <v>806</v>
      </c>
      <c r="Q504" s="328">
        <f t="shared" si="44"/>
        <v>2707666.6105038</v>
      </c>
    </row>
    <row r="505" spans="1:17" ht="12.75">
      <c r="A505" s="256">
        <v>19</v>
      </c>
      <c r="B505" s="253" t="s">
        <v>19</v>
      </c>
      <c r="C505" s="150">
        <f>1049160.54+179534.56</f>
        <v>1228695.1</v>
      </c>
      <c r="D505" s="69">
        <f t="shared" si="47"/>
        <v>270583.23492200003</v>
      </c>
      <c r="E505" s="190">
        <f t="shared" si="48"/>
        <v>57095.2</v>
      </c>
      <c r="F505" s="190">
        <f t="shared" si="48"/>
        <v>15508.910000000002</v>
      </c>
      <c r="G505" s="190">
        <f t="shared" si="48"/>
        <v>13570.999999999998</v>
      </c>
      <c r="H505" s="190">
        <f t="shared" si="48"/>
        <v>0</v>
      </c>
      <c r="I505" s="190">
        <f t="shared" si="48"/>
        <v>0</v>
      </c>
      <c r="J505" s="190">
        <f t="shared" si="48"/>
        <v>1995.63</v>
      </c>
      <c r="K505" s="190">
        <f t="shared" si="48"/>
        <v>8763.22666</v>
      </c>
      <c r="L505" s="190">
        <f t="shared" si="46"/>
        <v>0</v>
      </c>
      <c r="M505" s="190">
        <f t="shared" si="43"/>
        <v>58197.7</v>
      </c>
      <c r="N505" s="190">
        <f t="shared" si="43"/>
        <v>10.17</v>
      </c>
      <c r="O505" s="190">
        <f t="shared" si="43"/>
        <v>0</v>
      </c>
      <c r="P505" s="330">
        <f t="shared" si="43"/>
        <v>410</v>
      </c>
      <c r="Q505" s="328">
        <f t="shared" si="44"/>
        <v>1654830.171582</v>
      </c>
    </row>
    <row r="506" spans="1:17" ht="12.75">
      <c r="A506" s="256">
        <v>20</v>
      </c>
      <c r="B506" s="253" t="s">
        <v>20</v>
      </c>
      <c r="C506" s="150">
        <f>808740.63+302482</f>
        <v>1111222.63</v>
      </c>
      <c r="D506" s="69">
        <f t="shared" si="47"/>
        <v>244713.44757859997</v>
      </c>
      <c r="E506" s="190">
        <f t="shared" si="48"/>
        <v>66238.94</v>
      </c>
      <c r="F506" s="190">
        <f t="shared" si="48"/>
        <v>1989.88</v>
      </c>
      <c r="G506" s="190">
        <f t="shared" si="48"/>
        <v>3428.2899999999995</v>
      </c>
      <c r="H506" s="190">
        <f t="shared" si="48"/>
        <v>0</v>
      </c>
      <c r="I506" s="190">
        <f t="shared" si="48"/>
        <v>0</v>
      </c>
      <c r="J506" s="190">
        <f t="shared" si="48"/>
        <v>0</v>
      </c>
      <c r="K506" s="190">
        <f t="shared" si="48"/>
        <v>32925.62206</v>
      </c>
      <c r="L506" s="190">
        <f t="shared" si="46"/>
        <v>0</v>
      </c>
      <c r="M506" s="190">
        <f t="shared" si="43"/>
        <v>146600.69999999998</v>
      </c>
      <c r="N506" s="190">
        <f t="shared" si="43"/>
        <v>10.16</v>
      </c>
      <c r="O506" s="190">
        <f t="shared" si="43"/>
        <v>0</v>
      </c>
      <c r="P506" s="330">
        <f t="shared" si="43"/>
        <v>320</v>
      </c>
      <c r="Q506" s="328">
        <f t="shared" si="44"/>
        <v>1607449.6696385997</v>
      </c>
    </row>
    <row r="507" spans="1:18" ht="12.75">
      <c r="A507" s="256">
        <v>21</v>
      </c>
      <c r="B507" s="253" t="s">
        <v>21</v>
      </c>
      <c r="C507" s="150">
        <f>1095772.8+267686.11</f>
        <v>1363458.9100000001</v>
      </c>
      <c r="D507" s="69">
        <f t="shared" si="47"/>
        <v>300260.9211602</v>
      </c>
      <c r="E507" s="190">
        <f t="shared" si="48"/>
        <v>40612.84</v>
      </c>
      <c r="F507" s="190">
        <f t="shared" si="48"/>
        <v>1739.3899999999999</v>
      </c>
      <c r="G507" s="190">
        <f t="shared" si="48"/>
        <v>7700.42</v>
      </c>
      <c r="H507" s="190">
        <f t="shared" si="48"/>
        <v>473.4</v>
      </c>
      <c r="I507" s="190">
        <f t="shared" si="48"/>
        <v>0</v>
      </c>
      <c r="J507" s="190">
        <f t="shared" si="48"/>
        <v>727.6</v>
      </c>
      <c r="K507" s="190">
        <f t="shared" si="48"/>
        <v>26511.497332000003</v>
      </c>
      <c r="L507" s="190">
        <f t="shared" si="46"/>
        <v>0</v>
      </c>
      <c r="M507" s="190">
        <f t="shared" si="43"/>
        <v>84719.17</v>
      </c>
      <c r="N507" s="190">
        <f t="shared" si="43"/>
        <v>10.17</v>
      </c>
      <c r="O507" s="190">
        <f t="shared" si="43"/>
        <v>0</v>
      </c>
      <c r="P507" s="330">
        <f t="shared" si="43"/>
        <v>320</v>
      </c>
      <c r="Q507" s="328">
        <f t="shared" si="44"/>
        <v>1826534.3184922002</v>
      </c>
      <c r="R507" s="299"/>
    </row>
    <row r="508" spans="1:17" ht="12.75">
      <c r="A508" s="256">
        <v>22</v>
      </c>
      <c r="B508" s="253" t="s">
        <v>22</v>
      </c>
      <c r="C508" s="150"/>
      <c r="D508" s="69"/>
      <c r="E508" s="190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330"/>
      <c r="Q508" s="328">
        <f t="shared" si="44"/>
        <v>0</v>
      </c>
    </row>
    <row r="509" spans="1:17" ht="12.75">
      <c r="A509" s="256">
        <v>23</v>
      </c>
      <c r="B509" s="253" t="s">
        <v>23</v>
      </c>
      <c r="C509" s="150">
        <f>1224031.48+294184.89</f>
        <v>1518216.37</v>
      </c>
      <c r="D509" s="69">
        <f t="shared" si="47"/>
        <v>334341.6090014</v>
      </c>
      <c r="E509" s="190">
        <f aca="true" t="shared" si="49" ref="E509:K509">E29+E67+E105+E143+E182+E221+E262+E302+E385+E342+E427+E468</f>
        <v>43240.479999999996</v>
      </c>
      <c r="F509" s="190">
        <f t="shared" si="49"/>
        <v>8561.009999999998</v>
      </c>
      <c r="G509" s="190">
        <f t="shared" si="49"/>
        <v>106640.508</v>
      </c>
      <c r="H509" s="190">
        <f t="shared" si="49"/>
        <v>0</v>
      </c>
      <c r="I509" s="190">
        <f t="shared" si="49"/>
        <v>0</v>
      </c>
      <c r="J509" s="190">
        <f t="shared" si="49"/>
        <v>2152.15</v>
      </c>
      <c r="K509" s="190">
        <f t="shared" si="49"/>
        <v>9880.1862</v>
      </c>
      <c r="L509" s="190">
        <f t="shared" si="46"/>
        <v>109568.06999999998</v>
      </c>
      <c r="M509" s="190">
        <f t="shared" si="43"/>
        <v>0</v>
      </c>
      <c r="N509" s="190">
        <f t="shared" si="43"/>
        <v>10.16</v>
      </c>
      <c r="O509" s="190">
        <f t="shared" si="43"/>
        <v>0</v>
      </c>
      <c r="P509" s="330">
        <v>806</v>
      </c>
      <c r="Q509" s="328">
        <f t="shared" si="44"/>
        <v>2133416.5432014</v>
      </c>
    </row>
    <row r="510" spans="1:17" ht="12.75">
      <c r="A510" s="256">
        <v>24</v>
      </c>
      <c r="B510" s="253" t="s">
        <v>24</v>
      </c>
      <c r="C510" s="150"/>
      <c r="D510" s="69"/>
      <c r="E510" s="190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330"/>
      <c r="Q510" s="328">
        <f t="shared" si="44"/>
        <v>0</v>
      </c>
    </row>
    <row r="511" spans="1:17" ht="12.75">
      <c r="A511" s="256">
        <v>25</v>
      </c>
      <c r="B511" s="253" t="s">
        <v>25</v>
      </c>
      <c r="C511" s="150">
        <f>323651.25+46553.04</f>
        <v>370204.29</v>
      </c>
      <c r="D511" s="69">
        <f t="shared" si="47"/>
        <v>81526.3887438</v>
      </c>
      <c r="E511" s="190">
        <f aca="true" t="shared" si="50" ref="E511:M511">E31+E69+E107+E145+E184+E223+E264+E304+E387+E344+E429+E470</f>
        <v>5202</v>
      </c>
      <c r="F511" s="190">
        <f t="shared" si="50"/>
        <v>0</v>
      </c>
      <c r="G511" s="190">
        <f t="shared" si="50"/>
        <v>6935.820000000001</v>
      </c>
      <c r="H511" s="190">
        <f t="shared" si="50"/>
        <v>0</v>
      </c>
      <c r="I511" s="190">
        <f t="shared" si="50"/>
        <v>0</v>
      </c>
      <c r="J511" s="190">
        <f t="shared" si="50"/>
        <v>0</v>
      </c>
      <c r="K511" s="190">
        <f t="shared" si="50"/>
        <v>1103.1599999999999</v>
      </c>
      <c r="L511" s="190">
        <f t="shared" si="50"/>
        <v>0</v>
      </c>
      <c r="M511" s="190">
        <f t="shared" si="50"/>
        <v>13711.5</v>
      </c>
      <c r="N511" s="190">
        <f>N31+N69+N107+N145+N184+N223+N264+N304+N387+N344+N429+N469</f>
        <v>10.17</v>
      </c>
      <c r="O511" s="190">
        <f>O31+O69+O107+O145+O184+O223+O264+O304+O387+O344+O429+O470</f>
        <v>0</v>
      </c>
      <c r="P511" s="330">
        <f>P31+P69+P107+P145+P184+P223+P264+P304+P387+P344+P429+P470</f>
        <v>0</v>
      </c>
      <c r="Q511" s="328">
        <f t="shared" si="44"/>
        <v>478693.32874379994</v>
      </c>
    </row>
    <row r="512" spans="1:17" ht="12.75">
      <c r="A512" s="256">
        <v>26</v>
      </c>
      <c r="B512" s="253" t="s">
        <v>26</v>
      </c>
      <c r="C512" s="150">
        <f>318719.29+25161.53</f>
        <v>343880.81999999995</v>
      </c>
      <c r="D512" s="69">
        <f t="shared" si="47"/>
        <v>75729.43418039999</v>
      </c>
      <c r="E512" s="190">
        <f aca="true" t="shared" si="51" ref="E512:M512">E32+E70+E108+E146+E185+E265+E305+E388+E345+E430+E471+E224</f>
        <v>26205.9</v>
      </c>
      <c r="F512" s="190">
        <f t="shared" si="51"/>
        <v>0</v>
      </c>
      <c r="G512" s="190">
        <f t="shared" si="51"/>
        <v>423.04999999999995</v>
      </c>
      <c r="H512" s="190">
        <f>H32+H70+H108+H146+H185+H224+H265+H305+H388+H345+H430+H471</f>
        <v>0</v>
      </c>
      <c r="I512" s="190">
        <f t="shared" si="51"/>
        <v>0</v>
      </c>
      <c r="J512" s="190">
        <f t="shared" si="51"/>
        <v>0</v>
      </c>
      <c r="K512" s="190">
        <f t="shared" si="51"/>
        <v>540.56</v>
      </c>
      <c r="L512" s="190">
        <f t="shared" si="51"/>
        <v>0</v>
      </c>
      <c r="M512" s="190">
        <f t="shared" si="51"/>
        <v>8379.25</v>
      </c>
      <c r="N512" s="190">
        <f>N32+N70+N108+N146+N185+N224+N265+N305+N388+N345+N430+N470</f>
        <v>10.16</v>
      </c>
      <c r="O512" s="190">
        <f>O32+O70+O108+O146+O185+O265+O305+O388+O345+O430+O471+O224</f>
        <v>0</v>
      </c>
      <c r="P512" s="330">
        <f>P32+P70+P108+P146+P185+P265+P305+P388+P345+P430+P471+P224</f>
        <v>0</v>
      </c>
      <c r="Q512" s="328">
        <f t="shared" si="44"/>
        <v>455169.1741803999</v>
      </c>
    </row>
    <row r="513" spans="1:17" ht="12.75">
      <c r="A513" s="256">
        <v>27</v>
      </c>
      <c r="B513" s="253" t="s">
        <v>27</v>
      </c>
      <c r="C513" s="150">
        <f>167135.74+13264.98</f>
        <v>180400.72</v>
      </c>
      <c r="D513" s="69">
        <f t="shared" si="47"/>
        <v>39727.8465584</v>
      </c>
      <c r="E513" s="190">
        <f aca="true" t="shared" si="52" ref="E513:P513">E33+E71+E109+E147+E186+E225+E266+E306+E389+E346+E431+E472</f>
        <v>800.71</v>
      </c>
      <c r="F513" s="190">
        <f t="shared" si="52"/>
        <v>2799.95</v>
      </c>
      <c r="G513" s="190">
        <f t="shared" si="52"/>
        <v>362.47</v>
      </c>
      <c r="H513" s="190">
        <f t="shared" si="52"/>
        <v>0</v>
      </c>
      <c r="I513" s="190">
        <f t="shared" si="52"/>
        <v>0</v>
      </c>
      <c r="J513" s="190">
        <f t="shared" si="52"/>
        <v>0</v>
      </c>
      <c r="K513" s="190">
        <f t="shared" si="52"/>
        <v>5643.643792</v>
      </c>
      <c r="L513" s="190">
        <f t="shared" si="52"/>
        <v>2793.8399999999997</v>
      </c>
      <c r="M513" s="190">
        <f t="shared" si="52"/>
        <v>0</v>
      </c>
      <c r="N513" s="190">
        <f t="shared" si="52"/>
        <v>10.17</v>
      </c>
      <c r="O513" s="190">
        <f t="shared" si="52"/>
        <v>0</v>
      </c>
      <c r="P513" s="330">
        <f t="shared" si="52"/>
        <v>0</v>
      </c>
      <c r="Q513" s="328">
        <f t="shared" si="44"/>
        <v>232539.3503504</v>
      </c>
    </row>
    <row r="514" spans="1:17" ht="12.75">
      <c r="A514" s="256">
        <v>28</v>
      </c>
      <c r="B514" s="253" t="s">
        <v>28</v>
      </c>
      <c r="C514" s="150">
        <f>371971.21+32814.73</f>
        <v>404785.94</v>
      </c>
      <c r="D514" s="69">
        <f t="shared" si="47"/>
        <v>89141.9597068</v>
      </c>
      <c r="E514" s="190">
        <f aca="true" t="shared" si="53" ref="E514:P514">E34+E72+E110+E148+E187+E226+E267+E307+E390+E347+E432+E473</f>
        <v>28141.5</v>
      </c>
      <c r="F514" s="190">
        <f t="shared" si="53"/>
        <v>0</v>
      </c>
      <c r="G514" s="190">
        <f t="shared" si="53"/>
        <v>423.04999999999995</v>
      </c>
      <c r="H514" s="190">
        <f t="shared" si="53"/>
        <v>0</v>
      </c>
      <c r="I514" s="190">
        <f t="shared" si="53"/>
        <v>0</v>
      </c>
      <c r="J514" s="190">
        <f t="shared" si="53"/>
        <v>0</v>
      </c>
      <c r="K514" s="190">
        <f t="shared" si="53"/>
        <v>678.6195399999999</v>
      </c>
      <c r="L514" s="190">
        <f t="shared" si="53"/>
        <v>0</v>
      </c>
      <c r="M514" s="190">
        <f t="shared" si="53"/>
        <v>8379.25</v>
      </c>
      <c r="N514" s="190">
        <f t="shared" si="53"/>
        <v>10.16</v>
      </c>
      <c r="O514" s="190">
        <f t="shared" si="53"/>
        <v>0</v>
      </c>
      <c r="P514" s="330">
        <f t="shared" si="53"/>
        <v>0</v>
      </c>
      <c r="Q514" s="328">
        <f t="shared" si="44"/>
        <v>531560.4792468001</v>
      </c>
    </row>
    <row r="515" spans="1:17" ht="12.75">
      <c r="A515" s="256">
        <v>29</v>
      </c>
      <c r="B515" s="253" t="s">
        <v>29</v>
      </c>
      <c r="C515" s="150">
        <f>257934.22+24344.53</f>
        <v>282278.75</v>
      </c>
      <c r="D515" s="69">
        <f t="shared" si="47"/>
        <v>62163.426325</v>
      </c>
      <c r="E515" s="190">
        <f aca="true" t="shared" si="54" ref="E515:M515">E35+E73+E111+E149+E188+E227+E268+E308+E391+E348+E433+E474</f>
        <v>29430.2</v>
      </c>
      <c r="F515" s="190">
        <f t="shared" si="54"/>
        <v>0</v>
      </c>
      <c r="G515" s="190">
        <f t="shared" si="54"/>
        <v>423.04999999999995</v>
      </c>
      <c r="H515" s="190">
        <f t="shared" si="54"/>
        <v>0</v>
      </c>
      <c r="I515" s="190">
        <f t="shared" si="54"/>
        <v>0</v>
      </c>
      <c r="J515" s="190">
        <f t="shared" si="54"/>
        <v>0</v>
      </c>
      <c r="K515" s="190">
        <f t="shared" si="54"/>
        <v>73.25735599999996</v>
      </c>
      <c r="L515" s="190">
        <f t="shared" si="54"/>
        <v>0</v>
      </c>
      <c r="M515" s="190">
        <f t="shared" si="54"/>
        <v>7541.32</v>
      </c>
      <c r="N515" s="190">
        <f>N35+N73+N111+N149+N188+N227+N268+N308+N391+N348+N433+N471</f>
        <v>10.17</v>
      </c>
      <c r="O515" s="190">
        <f>O35+O73+O111+O149+O188+O227+O268+O308+O391+O348+O433+O474</f>
        <v>0</v>
      </c>
      <c r="P515" s="330">
        <v>0</v>
      </c>
      <c r="Q515" s="328">
        <f t="shared" si="44"/>
        <v>381920.173681</v>
      </c>
    </row>
    <row r="516" spans="1:17" ht="12.75">
      <c r="A516" s="256">
        <v>30</v>
      </c>
      <c r="B516" s="287" t="s">
        <v>34</v>
      </c>
      <c r="C516" s="150">
        <v>194924.91</v>
      </c>
      <c r="D516" s="69">
        <f t="shared" si="47"/>
        <v>42926.363680200004</v>
      </c>
      <c r="E516" s="190">
        <v>1330</v>
      </c>
      <c r="F516" s="190"/>
      <c r="G516" s="190">
        <v>389.78</v>
      </c>
      <c r="H516" s="190"/>
      <c r="I516" s="190"/>
      <c r="J516" s="190"/>
      <c r="K516" s="190"/>
      <c r="L516" s="190"/>
      <c r="M516" s="190"/>
      <c r="N516" s="190"/>
      <c r="O516" s="190"/>
      <c r="P516" s="330">
        <v>330</v>
      </c>
      <c r="Q516" s="328">
        <f t="shared" si="44"/>
        <v>239901.0536802</v>
      </c>
    </row>
    <row r="517" spans="1:17" ht="13.5" thickBot="1">
      <c r="A517" s="256">
        <v>31</v>
      </c>
      <c r="B517" s="288" t="s">
        <v>32</v>
      </c>
      <c r="C517" s="172">
        <f>C37+C75</f>
        <v>0</v>
      </c>
      <c r="D517" s="156">
        <f t="shared" si="47"/>
        <v>0</v>
      </c>
      <c r="E517" s="190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331"/>
    </row>
    <row r="518" spans="1:18" ht="13.5" thickBot="1">
      <c r="A518" s="259"/>
      <c r="B518" s="289" t="s">
        <v>12</v>
      </c>
      <c r="C518" s="151">
        <f>SUM(C487:C517)</f>
        <v>43652685.54999999</v>
      </c>
      <c r="D518" s="142">
        <f>SUM(D487:D517)</f>
        <v>9596203.691821001</v>
      </c>
      <c r="E518" s="142">
        <f>SUM(E487:E516)+E517</f>
        <v>2016030.192</v>
      </c>
      <c r="F518" s="142">
        <f>SUM(F487:F516)+F517</f>
        <v>313926.51</v>
      </c>
      <c r="G518" s="142">
        <f>SUM(G487:G516)+G517</f>
        <v>385367.574</v>
      </c>
      <c r="H518" s="142">
        <f>SUM(H487:H516)+H517</f>
        <v>3057.82</v>
      </c>
      <c r="I518" s="142">
        <f aca="true" t="shared" si="55" ref="I518:P518">SUM(I487:I516)+I517</f>
        <v>1550847.2399999998</v>
      </c>
      <c r="J518" s="142">
        <f t="shared" si="55"/>
        <v>77828.38</v>
      </c>
      <c r="K518" s="142">
        <f>SUM(K487:K516)+K517</f>
        <v>542336.6980160001</v>
      </c>
      <c r="L518" s="325">
        <f>SUM(L487:L516)+L517</f>
        <v>1046341.2199999997</v>
      </c>
      <c r="M518" s="142">
        <f t="shared" si="55"/>
        <v>1009480.2199999999</v>
      </c>
      <c r="N518" s="142">
        <f t="shared" si="55"/>
        <v>817.1899999999993</v>
      </c>
      <c r="O518" s="142">
        <f t="shared" si="55"/>
        <v>0</v>
      </c>
      <c r="P518" s="142">
        <f t="shared" si="55"/>
        <v>13586</v>
      </c>
      <c r="Q518" s="136">
        <f>SUM(Q487:Q517)</f>
        <v>60208508.285837</v>
      </c>
      <c r="R518" s="299"/>
    </row>
    <row r="519" spans="1:17" ht="13.5" thickBot="1">
      <c r="A519" s="260"/>
      <c r="B519" s="258"/>
      <c r="C519" s="159"/>
      <c r="D519" s="159"/>
      <c r="E519" s="159"/>
      <c r="F519" s="240"/>
      <c r="G519" s="240"/>
      <c r="H519" s="240"/>
      <c r="I519" s="240"/>
      <c r="J519" s="241"/>
      <c r="K519" s="241"/>
      <c r="L519" s="240"/>
      <c r="M519" s="240"/>
      <c r="N519" s="240"/>
      <c r="O519" s="240"/>
      <c r="P519" s="241"/>
      <c r="Q519" s="136"/>
    </row>
    <row r="520" spans="2:17" ht="15">
      <c r="B520" s="51"/>
      <c r="C520" s="191"/>
      <c r="D520" s="191"/>
      <c r="E520" s="191"/>
      <c r="F520" s="191"/>
      <c r="G520" s="191"/>
      <c r="H520" s="191"/>
      <c r="I520" s="191"/>
      <c r="J520" s="181"/>
      <c r="K520" s="191"/>
      <c r="L520" s="191"/>
      <c r="M520" s="191"/>
      <c r="N520" s="191"/>
      <c r="O520" s="191"/>
      <c r="P520" s="191"/>
      <c r="Q520" s="160"/>
    </row>
    <row r="521" spans="2:17" ht="15">
      <c r="B521" s="249"/>
      <c r="C521" s="58"/>
      <c r="D521" s="58"/>
      <c r="E521" s="191"/>
      <c r="F521" s="191"/>
      <c r="G521" s="191"/>
      <c r="H521" s="191"/>
      <c r="I521" s="191"/>
      <c r="J521" s="181"/>
      <c r="K521" s="191"/>
      <c r="L521" s="191"/>
      <c r="M521" s="191"/>
      <c r="N521" s="191"/>
      <c r="O521" s="191"/>
      <c r="P521" s="191"/>
      <c r="Q521" s="191"/>
    </row>
  </sheetData>
  <sheetProtection/>
  <mergeCells count="15">
    <mergeCell ref="B485:Q485"/>
    <mergeCell ref="B361:Q361"/>
    <mergeCell ref="B403:Q403"/>
    <mergeCell ref="B278:Q278"/>
    <mergeCell ref="B237:Q237"/>
    <mergeCell ref="B156:Q156"/>
    <mergeCell ref="B444:Q444"/>
    <mergeCell ref="B158:Q158"/>
    <mergeCell ref="B197:Q197"/>
    <mergeCell ref="B238:Q238"/>
    <mergeCell ref="B318:Q318"/>
    <mergeCell ref="B5:Q5"/>
    <mergeCell ref="B43:Q43"/>
    <mergeCell ref="B81:Q81"/>
    <mergeCell ref="B119:Q119"/>
  </mergeCells>
  <printOptions/>
  <pageMargins left="0" right="0" top="0" bottom="0" header="0.8" footer="0"/>
  <pageSetup horizontalDpi="600" verticalDpi="600" orientation="landscape" paperSize="9" scale="76" r:id="rId1"/>
  <rowBreaks count="1" manualBreakCount="1">
    <brk id="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21"/>
  <sheetViews>
    <sheetView workbookViewId="0" topLeftCell="A478">
      <selection activeCell="B486" sqref="B486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18.57421875" style="0" customWidth="1"/>
    <col min="4" max="4" width="20.421875" style="0" customWidth="1"/>
    <col min="5" max="5" width="17.28125" style="0" customWidth="1"/>
  </cols>
  <sheetData>
    <row r="1" ht="62.25" customHeight="1" hidden="1"/>
    <row r="2" spans="2:5" ht="18" customHeight="1" hidden="1">
      <c r="B2" s="359" t="s">
        <v>41</v>
      </c>
      <c r="C2" s="359"/>
      <c r="D2" s="359"/>
      <c r="E2" s="359"/>
    </row>
    <row r="3" spans="1:5" ht="13.5" customHeight="1" hidden="1">
      <c r="A3" s="254"/>
      <c r="B3" s="10" t="s">
        <v>31</v>
      </c>
      <c r="C3" s="159">
        <v>2110</v>
      </c>
      <c r="D3" s="159">
        <v>2111</v>
      </c>
      <c r="E3" s="168" t="s">
        <v>30</v>
      </c>
    </row>
    <row r="4" spans="1:5" ht="13.5" customHeight="1" hidden="1">
      <c r="A4" s="255">
        <v>1</v>
      </c>
      <c r="B4" s="252" t="s">
        <v>0</v>
      </c>
      <c r="C4" s="164"/>
      <c r="D4" s="165"/>
      <c r="E4" s="23">
        <f aca="true" t="shared" si="0" ref="E4:E34">SUM(C4:D4)</f>
        <v>0</v>
      </c>
    </row>
    <row r="5" spans="1:5" ht="13.5" customHeight="1" hidden="1">
      <c r="A5" s="256">
        <v>2</v>
      </c>
      <c r="B5" s="253" t="s">
        <v>1</v>
      </c>
      <c r="C5" s="150"/>
      <c r="D5" s="88"/>
      <c r="E5" s="29">
        <f t="shared" si="0"/>
        <v>0</v>
      </c>
    </row>
    <row r="6" spans="1:5" ht="13.5" customHeight="1" hidden="1">
      <c r="A6" s="256">
        <v>3</v>
      </c>
      <c r="B6" s="253" t="s">
        <v>2</v>
      </c>
      <c r="C6" s="150"/>
      <c r="D6" s="88"/>
      <c r="E6" s="29">
        <f t="shared" si="0"/>
        <v>0</v>
      </c>
    </row>
    <row r="7" spans="1:5" ht="13.5" customHeight="1" hidden="1">
      <c r="A7" s="256">
        <v>4</v>
      </c>
      <c r="B7" s="253" t="s">
        <v>3</v>
      </c>
      <c r="C7" s="150"/>
      <c r="D7" s="88"/>
      <c r="E7" s="29">
        <f t="shared" si="0"/>
        <v>0</v>
      </c>
    </row>
    <row r="8" spans="1:5" ht="13.5" customHeight="1" hidden="1">
      <c r="A8" s="256">
        <v>5</v>
      </c>
      <c r="B8" s="253" t="s">
        <v>4</v>
      </c>
      <c r="C8" s="150"/>
      <c r="D8" s="88"/>
      <c r="E8" s="29">
        <f t="shared" si="0"/>
        <v>0</v>
      </c>
    </row>
    <row r="9" spans="1:5" ht="13.5" customHeight="1" hidden="1">
      <c r="A9" s="256">
        <v>6</v>
      </c>
      <c r="B9" s="253" t="s">
        <v>5</v>
      </c>
      <c r="C9" s="163"/>
      <c r="D9" s="88"/>
      <c r="E9" s="29">
        <f t="shared" si="0"/>
        <v>0</v>
      </c>
    </row>
    <row r="10" spans="1:5" ht="13.5" customHeight="1" hidden="1">
      <c r="A10" s="256">
        <v>7</v>
      </c>
      <c r="B10" s="253" t="s">
        <v>6</v>
      </c>
      <c r="C10" s="163"/>
      <c r="D10" s="88"/>
      <c r="E10" s="29">
        <f t="shared" si="0"/>
        <v>0</v>
      </c>
    </row>
    <row r="11" spans="1:5" ht="13.5" customHeight="1" hidden="1">
      <c r="A11" s="256">
        <v>8</v>
      </c>
      <c r="B11" s="253" t="s">
        <v>7</v>
      </c>
      <c r="C11" s="163"/>
      <c r="D11" s="88"/>
      <c r="E11" s="29">
        <f t="shared" si="0"/>
        <v>0</v>
      </c>
    </row>
    <row r="12" spans="1:5" ht="13.5" customHeight="1" hidden="1">
      <c r="A12" s="256">
        <v>9</v>
      </c>
      <c r="B12" s="253" t="s">
        <v>8</v>
      </c>
      <c r="C12" s="163"/>
      <c r="D12" s="88"/>
      <c r="E12" s="29">
        <f t="shared" si="0"/>
        <v>0</v>
      </c>
    </row>
    <row r="13" spans="1:5" ht="13.5" customHeight="1" hidden="1">
      <c r="A13" s="256">
        <v>10</v>
      </c>
      <c r="B13" s="253" t="s">
        <v>9</v>
      </c>
      <c r="C13" s="163"/>
      <c r="D13" s="88"/>
      <c r="E13" s="29">
        <f t="shared" si="0"/>
        <v>0</v>
      </c>
    </row>
    <row r="14" spans="1:5" ht="13.5" customHeight="1" hidden="1">
      <c r="A14" s="256">
        <v>11</v>
      </c>
      <c r="B14" s="253" t="s">
        <v>10</v>
      </c>
      <c r="C14" s="163"/>
      <c r="D14" s="88"/>
      <c r="E14" s="29">
        <f t="shared" si="0"/>
        <v>0</v>
      </c>
    </row>
    <row r="15" spans="1:5" ht="13.5" customHeight="1" hidden="1">
      <c r="A15" s="256">
        <v>12</v>
      </c>
      <c r="B15" s="253" t="s">
        <v>11</v>
      </c>
      <c r="C15" s="163"/>
      <c r="D15" s="88"/>
      <c r="E15" s="29">
        <f t="shared" si="0"/>
        <v>0</v>
      </c>
    </row>
    <row r="16" spans="1:5" ht="13.5" customHeight="1" hidden="1">
      <c r="A16" s="256">
        <v>13</v>
      </c>
      <c r="B16" s="253" t="s">
        <v>13</v>
      </c>
      <c r="C16" s="163"/>
      <c r="D16" s="88"/>
      <c r="E16" s="29">
        <f t="shared" si="0"/>
        <v>0</v>
      </c>
    </row>
    <row r="17" spans="1:5" ht="13.5" customHeight="1" hidden="1">
      <c r="A17" s="256">
        <v>14</v>
      </c>
      <c r="B17" s="253" t="s">
        <v>14</v>
      </c>
      <c r="C17" s="163"/>
      <c r="D17" s="88"/>
      <c r="E17" s="29">
        <f t="shared" si="0"/>
        <v>0</v>
      </c>
    </row>
    <row r="18" spans="1:5" ht="13.5" customHeight="1" hidden="1">
      <c r="A18" s="256">
        <v>15</v>
      </c>
      <c r="B18" s="253" t="s">
        <v>15</v>
      </c>
      <c r="C18" s="163"/>
      <c r="D18" s="88"/>
      <c r="E18" s="29">
        <f t="shared" si="0"/>
        <v>0</v>
      </c>
    </row>
    <row r="19" spans="1:5" ht="13.5" customHeight="1" hidden="1">
      <c r="A19" s="256">
        <v>16</v>
      </c>
      <c r="B19" s="253" t="s">
        <v>16</v>
      </c>
      <c r="C19" s="163"/>
      <c r="D19" s="88"/>
      <c r="E19" s="29">
        <f t="shared" si="0"/>
        <v>0</v>
      </c>
    </row>
    <row r="20" spans="1:5" ht="13.5" customHeight="1" hidden="1">
      <c r="A20" s="256">
        <v>17</v>
      </c>
      <c r="B20" s="253" t="s">
        <v>17</v>
      </c>
      <c r="C20" s="163"/>
      <c r="D20" s="88"/>
      <c r="E20" s="29">
        <f t="shared" si="0"/>
        <v>0</v>
      </c>
    </row>
    <row r="21" spans="1:5" ht="13.5" customHeight="1" hidden="1">
      <c r="A21" s="256">
        <v>18</v>
      </c>
      <c r="B21" s="253" t="s">
        <v>18</v>
      </c>
      <c r="C21" s="163"/>
      <c r="D21" s="88"/>
      <c r="E21" s="29">
        <f t="shared" si="0"/>
        <v>0</v>
      </c>
    </row>
    <row r="22" spans="1:5" ht="13.5" customHeight="1" hidden="1">
      <c r="A22" s="256">
        <v>19</v>
      </c>
      <c r="B22" s="253" t="s">
        <v>19</v>
      </c>
      <c r="C22" s="163"/>
      <c r="D22" s="88"/>
      <c r="E22" s="29">
        <f t="shared" si="0"/>
        <v>0</v>
      </c>
    </row>
    <row r="23" spans="1:5" ht="13.5" customHeight="1" hidden="1">
      <c r="A23" s="256">
        <v>20</v>
      </c>
      <c r="B23" s="253" t="s">
        <v>20</v>
      </c>
      <c r="C23" s="163"/>
      <c r="D23" s="88"/>
      <c r="E23" s="29">
        <f t="shared" si="0"/>
        <v>0</v>
      </c>
    </row>
    <row r="24" spans="1:5" ht="13.5" customHeight="1" hidden="1">
      <c r="A24" s="256">
        <v>21</v>
      </c>
      <c r="B24" s="253" t="s">
        <v>21</v>
      </c>
      <c r="C24" s="163"/>
      <c r="D24" s="88"/>
      <c r="E24" s="29">
        <f t="shared" si="0"/>
        <v>0</v>
      </c>
    </row>
    <row r="25" spans="1:5" ht="13.5" customHeight="1" hidden="1">
      <c r="A25" s="256">
        <v>22</v>
      </c>
      <c r="B25" s="253" t="s">
        <v>22</v>
      </c>
      <c r="C25" s="163"/>
      <c r="D25" s="88"/>
      <c r="E25" s="29">
        <f t="shared" si="0"/>
        <v>0</v>
      </c>
    </row>
    <row r="26" spans="1:5" ht="13.5" customHeight="1" hidden="1">
      <c r="A26" s="256">
        <v>23</v>
      </c>
      <c r="B26" s="253" t="s">
        <v>23</v>
      </c>
      <c r="C26" s="163"/>
      <c r="D26" s="88"/>
      <c r="E26" s="29">
        <f t="shared" si="0"/>
        <v>0</v>
      </c>
    </row>
    <row r="27" spans="1:5" ht="13.5" customHeight="1" hidden="1">
      <c r="A27" s="256">
        <v>24</v>
      </c>
      <c r="B27" s="253" t="s">
        <v>24</v>
      </c>
      <c r="C27" s="163"/>
      <c r="D27" s="88"/>
      <c r="E27" s="29">
        <f t="shared" si="0"/>
        <v>0</v>
      </c>
    </row>
    <row r="28" spans="1:5" ht="13.5" customHeight="1" hidden="1">
      <c r="A28" s="256">
        <v>25</v>
      </c>
      <c r="B28" s="253" t="s">
        <v>25</v>
      </c>
      <c r="C28" s="163"/>
      <c r="D28" s="88"/>
      <c r="E28" s="29">
        <f t="shared" si="0"/>
        <v>0</v>
      </c>
    </row>
    <row r="29" spans="1:5" ht="13.5" customHeight="1" hidden="1">
      <c r="A29" s="256">
        <v>26</v>
      </c>
      <c r="B29" s="253" t="s">
        <v>26</v>
      </c>
      <c r="C29" s="163"/>
      <c r="D29" s="88"/>
      <c r="E29" s="29">
        <f t="shared" si="0"/>
        <v>0</v>
      </c>
    </row>
    <row r="30" spans="1:5" ht="13.5" customHeight="1" hidden="1">
      <c r="A30" s="256">
        <v>27</v>
      </c>
      <c r="B30" s="253" t="s">
        <v>27</v>
      </c>
      <c r="C30" s="163"/>
      <c r="D30" s="88"/>
      <c r="E30" s="29">
        <f t="shared" si="0"/>
        <v>0</v>
      </c>
    </row>
    <row r="31" spans="1:5" ht="13.5" customHeight="1" hidden="1">
      <c r="A31" s="256">
        <v>28</v>
      </c>
      <c r="B31" s="253" t="s">
        <v>28</v>
      </c>
      <c r="C31" s="163"/>
      <c r="D31" s="88"/>
      <c r="E31" s="29">
        <f t="shared" si="0"/>
        <v>0</v>
      </c>
    </row>
    <row r="32" spans="1:5" ht="13.5" customHeight="1" hidden="1">
      <c r="A32" s="256">
        <v>29</v>
      </c>
      <c r="B32" s="253" t="s">
        <v>29</v>
      </c>
      <c r="C32" s="163"/>
      <c r="D32" s="88"/>
      <c r="E32" s="29">
        <f t="shared" si="0"/>
        <v>0</v>
      </c>
    </row>
    <row r="33" spans="1:5" ht="13.5" customHeight="1" hidden="1">
      <c r="A33" s="256">
        <v>30</v>
      </c>
      <c r="B33" s="253" t="s">
        <v>37</v>
      </c>
      <c r="C33" s="147"/>
      <c r="D33" s="6"/>
      <c r="E33" s="29">
        <f t="shared" si="0"/>
        <v>0</v>
      </c>
    </row>
    <row r="34" spans="1:5" ht="13.5" customHeight="1" hidden="1">
      <c r="A34" s="256">
        <v>31</v>
      </c>
      <c r="B34" s="253" t="s">
        <v>36</v>
      </c>
      <c r="C34" s="148"/>
      <c r="D34" s="40"/>
      <c r="E34" s="265">
        <f t="shared" si="0"/>
        <v>0</v>
      </c>
    </row>
    <row r="35" spans="1:5" ht="13.5" customHeight="1" hidden="1">
      <c r="A35" s="254"/>
      <c r="B35" s="292" t="s">
        <v>12</v>
      </c>
      <c r="C35" s="244">
        <f>SUM(C4:C34)</f>
        <v>0</v>
      </c>
      <c r="D35" s="244">
        <f>SUM(D4:D34)</f>
        <v>0</v>
      </c>
      <c r="E35" s="266">
        <f>SUM(E4:E34)</f>
        <v>0</v>
      </c>
    </row>
    <row r="36" spans="1:5" ht="13.5" customHeight="1" hidden="1">
      <c r="A36" s="257"/>
      <c r="B36" s="61"/>
      <c r="C36" s="159">
        <v>2110</v>
      </c>
      <c r="D36" s="159">
        <v>2111</v>
      </c>
      <c r="E36" s="19" t="e">
        <f>#REF!+#REF!+#REF!+#REF!+#REF!+#REF!+#REF!+#REF!+#REF!+#REF!+D35+C35+#REF!</f>
        <v>#REF!</v>
      </c>
    </row>
    <row r="37" spans="2:5" ht="13.5" customHeight="1" hidden="1">
      <c r="B37" s="51" t="s">
        <v>35</v>
      </c>
      <c r="C37" s="246"/>
      <c r="D37" s="246"/>
      <c r="E37" s="50" t="e">
        <f>SUM(#REF!)</f>
        <v>#REF!</v>
      </c>
    </row>
    <row r="38" spans="2:5" ht="15.75" hidden="1">
      <c r="B38" s="249" t="s">
        <v>12</v>
      </c>
      <c r="C38" s="243"/>
      <c r="D38" s="243"/>
      <c r="E38" s="250">
        <f>SUM(C38:D38)</f>
        <v>0</v>
      </c>
    </row>
    <row r="39" spans="2:5" ht="60.75" customHeight="1" hidden="1">
      <c r="B39" s="52"/>
      <c r="C39" s="52"/>
      <c r="D39" s="52"/>
      <c r="E39" s="52"/>
    </row>
    <row r="40" spans="2:5" ht="18.75" hidden="1">
      <c r="B40" s="359" t="s">
        <v>40</v>
      </c>
      <c r="C40" s="359"/>
      <c r="D40" s="359"/>
      <c r="E40" s="359"/>
    </row>
    <row r="41" spans="1:5" ht="13.5" hidden="1" thickBot="1">
      <c r="A41" s="254"/>
      <c r="B41" s="291" t="s">
        <v>31</v>
      </c>
      <c r="C41" s="307">
        <v>2110</v>
      </c>
      <c r="D41" s="307">
        <v>2111</v>
      </c>
      <c r="E41" s="263" t="s">
        <v>30</v>
      </c>
    </row>
    <row r="42" spans="1:5" ht="12.75" hidden="1">
      <c r="A42" s="279">
        <v>1</v>
      </c>
      <c r="B42" s="276" t="s">
        <v>0</v>
      </c>
      <c r="C42" s="170"/>
      <c r="D42" s="66"/>
      <c r="E42" s="267" t="e">
        <f>SUM(#REF!)</f>
        <v>#REF!</v>
      </c>
    </row>
    <row r="43" spans="1:5" ht="12.75" hidden="1">
      <c r="A43" s="280">
        <v>2</v>
      </c>
      <c r="B43" s="277" t="s">
        <v>1</v>
      </c>
      <c r="C43" s="81"/>
      <c r="D43" s="70"/>
      <c r="E43" s="268" t="e">
        <f>SUM(#REF!)</f>
        <v>#REF!</v>
      </c>
    </row>
    <row r="44" spans="1:5" ht="12.75" hidden="1">
      <c r="A44" s="280">
        <v>3</v>
      </c>
      <c r="B44" s="277" t="s">
        <v>2</v>
      </c>
      <c r="C44" s="81"/>
      <c r="D44" s="70"/>
      <c r="E44" s="268" t="e">
        <f>SUM(#REF!)</f>
        <v>#REF!</v>
      </c>
    </row>
    <row r="45" spans="1:5" ht="12.75" hidden="1">
      <c r="A45" s="280">
        <v>4</v>
      </c>
      <c r="B45" s="277" t="s">
        <v>3</v>
      </c>
      <c r="C45" s="154"/>
      <c r="D45" s="70"/>
      <c r="E45" s="268" t="e">
        <f>SUM(#REF!)</f>
        <v>#REF!</v>
      </c>
    </row>
    <row r="46" spans="1:5" ht="12.75" hidden="1">
      <c r="A46" s="280">
        <v>5</v>
      </c>
      <c r="B46" s="277" t="s">
        <v>4</v>
      </c>
      <c r="C46" s="154"/>
      <c r="D46" s="70"/>
      <c r="E46" s="268" t="e">
        <f>SUM(#REF!)</f>
        <v>#REF!</v>
      </c>
    </row>
    <row r="47" spans="1:5" ht="12.75" hidden="1">
      <c r="A47" s="280">
        <v>6</v>
      </c>
      <c r="B47" s="277" t="s">
        <v>5</v>
      </c>
      <c r="C47" s="81"/>
      <c r="D47" s="70"/>
      <c r="E47" s="268" t="e">
        <f>SUM(#REF!)</f>
        <v>#REF!</v>
      </c>
    </row>
    <row r="48" spans="1:5" ht="12.75" hidden="1">
      <c r="A48" s="280">
        <v>7</v>
      </c>
      <c r="B48" s="277" t="s">
        <v>6</v>
      </c>
      <c r="C48" s="154"/>
      <c r="D48" s="70"/>
      <c r="E48" s="268" t="e">
        <f>SUM(#REF!)</f>
        <v>#REF!</v>
      </c>
    </row>
    <row r="49" spans="1:5" ht="12.75" hidden="1">
      <c r="A49" s="280">
        <v>8</v>
      </c>
      <c r="B49" s="277" t="s">
        <v>7</v>
      </c>
      <c r="C49" s="154"/>
      <c r="D49" s="70"/>
      <c r="E49" s="268" t="e">
        <f>SUM(#REF!)</f>
        <v>#REF!</v>
      </c>
    </row>
    <row r="50" spans="1:5" ht="12.75" hidden="1">
      <c r="A50" s="280">
        <v>9</v>
      </c>
      <c r="B50" s="277" t="s">
        <v>8</v>
      </c>
      <c r="C50" s="154"/>
      <c r="D50" s="70"/>
      <c r="E50" s="268" t="e">
        <f>SUM(#REF!)</f>
        <v>#REF!</v>
      </c>
    </row>
    <row r="51" spans="1:5" ht="12.75" hidden="1">
      <c r="A51" s="280">
        <v>10</v>
      </c>
      <c r="B51" s="277" t="s">
        <v>9</v>
      </c>
      <c r="C51" s="81"/>
      <c r="D51" s="70"/>
      <c r="E51" s="268" t="e">
        <f>SUM(#REF!)</f>
        <v>#REF!</v>
      </c>
    </row>
    <row r="52" spans="1:5" ht="12.75" hidden="1">
      <c r="A52" s="280">
        <v>11</v>
      </c>
      <c r="B52" s="277" t="s">
        <v>10</v>
      </c>
      <c r="C52" s="154"/>
      <c r="D52" s="70"/>
      <c r="E52" s="268" t="e">
        <f>SUM(#REF!)</f>
        <v>#REF!</v>
      </c>
    </row>
    <row r="53" spans="1:5" ht="12.75" hidden="1">
      <c r="A53" s="280">
        <v>12</v>
      </c>
      <c r="B53" s="277" t="s">
        <v>11</v>
      </c>
      <c r="C53" s="154"/>
      <c r="D53" s="70"/>
      <c r="E53" s="268" t="e">
        <f>SUM(#REF!)</f>
        <v>#REF!</v>
      </c>
    </row>
    <row r="54" spans="1:5" ht="12.75" hidden="1">
      <c r="A54" s="280">
        <v>13</v>
      </c>
      <c r="B54" s="277" t="s">
        <v>13</v>
      </c>
      <c r="C54" s="154"/>
      <c r="D54" s="70"/>
      <c r="E54" s="268" t="e">
        <f>SUM(#REF!)</f>
        <v>#REF!</v>
      </c>
    </row>
    <row r="55" spans="1:5" ht="12.75" hidden="1">
      <c r="A55" s="280">
        <v>14</v>
      </c>
      <c r="B55" s="277" t="s">
        <v>14</v>
      </c>
      <c r="C55" s="154"/>
      <c r="D55" s="70"/>
      <c r="E55" s="268" t="e">
        <f>SUM(#REF!)</f>
        <v>#REF!</v>
      </c>
    </row>
    <row r="56" spans="1:5" ht="12.75" hidden="1">
      <c r="A56" s="280">
        <v>15</v>
      </c>
      <c r="B56" s="277" t="s">
        <v>15</v>
      </c>
      <c r="C56" s="154"/>
      <c r="D56" s="70"/>
      <c r="E56" s="268" t="e">
        <f>SUM(#REF!)</f>
        <v>#REF!</v>
      </c>
    </row>
    <row r="57" spans="1:5" ht="12.75" hidden="1">
      <c r="A57" s="280">
        <v>16</v>
      </c>
      <c r="B57" s="277" t="s">
        <v>16</v>
      </c>
      <c r="C57" s="154"/>
      <c r="D57" s="70"/>
      <c r="E57" s="268" t="e">
        <f>SUM(#REF!)</f>
        <v>#REF!</v>
      </c>
    </row>
    <row r="58" spans="1:5" ht="12.75" hidden="1">
      <c r="A58" s="280">
        <v>17</v>
      </c>
      <c r="B58" s="277" t="s">
        <v>17</v>
      </c>
      <c r="C58" s="154"/>
      <c r="D58" s="70"/>
      <c r="E58" s="268" t="e">
        <f>SUM(#REF!)</f>
        <v>#REF!</v>
      </c>
    </row>
    <row r="59" spans="1:5" ht="12.75" hidden="1">
      <c r="A59" s="280">
        <v>18</v>
      </c>
      <c r="B59" s="277" t="s">
        <v>18</v>
      </c>
      <c r="C59" s="154"/>
      <c r="D59" s="70"/>
      <c r="E59" s="268" t="e">
        <f>SUM(#REF!)</f>
        <v>#REF!</v>
      </c>
    </row>
    <row r="60" spans="1:5" ht="12.75" hidden="1">
      <c r="A60" s="280">
        <v>19</v>
      </c>
      <c r="B60" s="277" t="s">
        <v>19</v>
      </c>
      <c r="C60" s="154"/>
      <c r="D60" s="70"/>
      <c r="E60" s="268" t="e">
        <f>SUM(#REF!)</f>
        <v>#REF!</v>
      </c>
    </row>
    <row r="61" spans="1:5" ht="12.75" hidden="1">
      <c r="A61" s="280">
        <v>20</v>
      </c>
      <c r="B61" s="277" t="s">
        <v>20</v>
      </c>
      <c r="C61" s="154"/>
      <c r="D61" s="70"/>
      <c r="E61" s="268" t="e">
        <f>SUM(#REF!)</f>
        <v>#REF!</v>
      </c>
    </row>
    <row r="62" spans="1:5" ht="12.75" hidden="1">
      <c r="A62" s="280">
        <v>21</v>
      </c>
      <c r="B62" s="277" t="s">
        <v>21</v>
      </c>
      <c r="C62" s="154"/>
      <c r="D62" s="70"/>
      <c r="E62" s="268" t="e">
        <f>SUM(#REF!)</f>
        <v>#REF!</v>
      </c>
    </row>
    <row r="63" spans="1:5" ht="12.75" hidden="1">
      <c r="A63" s="280">
        <v>22</v>
      </c>
      <c r="B63" s="277" t="s">
        <v>22</v>
      </c>
      <c r="C63" s="81"/>
      <c r="D63" s="70"/>
      <c r="E63" s="268" t="e">
        <f>SUM(#REF!)</f>
        <v>#REF!</v>
      </c>
    </row>
    <row r="64" spans="1:5" ht="12.75" hidden="1">
      <c r="A64" s="280">
        <v>23</v>
      </c>
      <c r="B64" s="277" t="s">
        <v>23</v>
      </c>
      <c r="C64" s="154"/>
      <c r="D64" s="70"/>
      <c r="E64" s="268" t="e">
        <f>SUM(#REF!)</f>
        <v>#REF!</v>
      </c>
    </row>
    <row r="65" spans="1:5" ht="12.75" hidden="1">
      <c r="A65" s="280">
        <v>24</v>
      </c>
      <c r="B65" s="277" t="s">
        <v>24</v>
      </c>
      <c r="C65" s="154"/>
      <c r="D65" s="70"/>
      <c r="E65" s="268" t="e">
        <f>SUM(#REF!)</f>
        <v>#REF!</v>
      </c>
    </row>
    <row r="66" spans="1:5" ht="12.75" hidden="1">
      <c r="A66" s="280">
        <v>25</v>
      </c>
      <c r="B66" s="277" t="s">
        <v>25</v>
      </c>
      <c r="C66" s="154"/>
      <c r="D66" s="70"/>
      <c r="E66" s="268" t="e">
        <f>SUM(#REF!)</f>
        <v>#REF!</v>
      </c>
    </row>
    <row r="67" spans="1:5" ht="12.75" hidden="1">
      <c r="A67" s="280">
        <v>26</v>
      </c>
      <c r="B67" s="277" t="s">
        <v>26</v>
      </c>
      <c r="C67" s="81"/>
      <c r="D67" s="70"/>
      <c r="E67" s="268" t="e">
        <f>SUM(#REF!)</f>
        <v>#REF!</v>
      </c>
    </row>
    <row r="68" spans="1:5" ht="12.75" hidden="1">
      <c r="A68" s="280">
        <v>27</v>
      </c>
      <c r="B68" s="277" t="s">
        <v>27</v>
      </c>
      <c r="C68" s="154"/>
      <c r="D68" s="70"/>
      <c r="E68" s="268" t="e">
        <f>SUM(#REF!)</f>
        <v>#REF!</v>
      </c>
    </row>
    <row r="69" spans="1:5" ht="12.75" hidden="1">
      <c r="A69" s="280">
        <v>28</v>
      </c>
      <c r="B69" s="277" t="s">
        <v>28</v>
      </c>
      <c r="C69" s="154"/>
      <c r="D69" s="70"/>
      <c r="E69" s="268" t="e">
        <f>SUM(#REF!)</f>
        <v>#REF!</v>
      </c>
    </row>
    <row r="70" spans="1:5" ht="12.75" hidden="1">
      <c r="A70" s="280">
        <v>29</v>
      </c>
      <c r="B70" s="277" t="s">
        <v>29</v>
      </c>
      <c r="C70" s="154"/>
      <c r="D70" s="70"/>
      <c r="E70" s="268" t="e">
        <f>SUM(#REF!)</f>
        <v>#REF!</v>
      </c>
    </row>
    <row r="71" spans="1:5" ht="12.75" hidden="1">
      <c r="A71" s="280">
        <v>30</v>
      </c>
      <c r="B71" s="277" t="s">
        <v>37</v>
      </c>
      <c r="C71" s="154"/>
      <c r="D71" s="70"/>
      <c r="E71" s="268" t="e">
        <f>SUM(#REF!)</f>
        <v>#REF!</v>
      </c>
    </row>
    <row r="72" spans="1:5" ht="13.5" hidden="1" thickBot="1">
      <c r="A72" s="281">
        <v>31</v>
      </c>
      <c r="B72" s="278" t="s">
        <v>36</v>
      </c>
      <c r="C72" s="155"/>
      <c r="D72" s="82"/>
      <c r="E72" s="268" t="e">
        <f>SUM(#REF!)</f>
        <v>#REF!</v>
      </c>
    </row>
    <row r="73" spans="1:5" ht="13.5" hidden="1" thickBot="1">
      <c r="A73" s="259"/>
      <c r="B73" s="290" t="s">
        <v>12</v>
      </c>
      <c r="C73" s="269">
        <f>SUM(C42:C72)</f>
        <v>0</v>
      </c>
      <c r="D73" s="269">
        <f>SUM(D42:D72)</f>
        <v>0</v>
      </c>
      <c r="E73" s="171" t="e">
        <f>SUM(E42:E71)+E72</f>
        <v>#REF!</v>
      </c>
    </row>
    <row r="74" spans="1:5" ht="13.5" hidden="1" thickBot="1">
      <c r="A74" s="260"/>
      <c r="B74" s="258"/>
      <c r="C74" s="159">
        <v>2110</v>
      </c>
      <c r="D74" s="159">
        <v>2111</v>
      </c>
      <c r="E74" s="131" t="e">
        <f>C73+D73+#REF!+#REF!+#REF!+#REF!+#REF!+#REF!+#REF!+#REF!+#REF!+#REF!+#REF!</f>
        <v>#REF!</v>
      </c>
    </row>
    <row r="75" spans="2:5" ht="15" hidden="1">
      <c r="B75" s="51" t="s">
        <v>35</v>
      </c>
      <c r="C75" s="132"/>
      <c r="D75" s="132"/>
      <c r="E75" s="133">
        <f>SUM(C75:D75)</f>
        <v>0</v>
      </c>
    </row>
    <row r="76" spans="2:5" ht="15" hidden="1">
      <c r="B76" s="249" t="s">
        <v>12</v>
      </c>
      <c r="C76" s="261"/>
      <c r="D76" s="261"/>
      <c r="E76" s="262">
        <f>SUM(E75:E75)</f>
        <v>0</v>
      </c>
    </row>
    <row r="77" spans="2:5" ht="57" customHeight="1" hidden="1">
      <c r="B77" s="52"/>
      <c r="C77" s="52"/>
      <c r="D77" s="52"/>
      <c r="E77" s="52"/>
    </row>
    <row r="78" spans="2:5" ht="18.75" hidden="1">
      <c r="B78" s="359" t="s">
        <v>39</v>
      </c>
      <c r="C78" s="359"/>
      <c r="D78" s="359"/>
      <c r="E78" s="359"/>
    </row>
    <row r="79" spans="1:5" ht="13.5" hidden="1" thickBot="1">
      <c r="A79" s="254"/>
      <c r="B79" s="285" t="s">
        <v>31</v>
      </c>
      <c r="C79" s="312">
        <v>2110</v>
      </c>
      <c r="D79" s="312">
        <v>2111</v>
      </c>
      <c r="E79" s="263" t="s">
        <v>30</v>
      </c>
    </row>
    <row r="80" spans="1:5" ht="12.75" hidden="1">
      <c r="A80" s="255">
        <v>1</v>
      </c>
      <c r="B80" s="286" t="s">
        <v>0</v>
      </c>
      <c r="C80" s="35"/>
      <c r="D80" s="36"/>
      <c r="E80" s="56" t="e">
        <f>SUM(#REF!)</f>
        <v>#REF!</v>
      </c>
    </row>
    <row r="81" spans="1:5" ht="12.75" hidden="1">
      <c r="A81" s="256">
        <v>2</v>
      </c>
      <c r="B81" s="287" t="s">
        <v>1</v>
      </c>
      <c r="C81" s="12"/>
      <c r="D81" s="2"/>
      <c r="E81" s="102" t="e">
        <f>SUM(#REF!)</f>
        <v>#REF!</v>
      </c>
    </row>
    <row r="82" spans="1:5" ht="12.75" hidden="1">
      <c r="A82" s="256">
        <v>3</v>
      </c>
      <c r="B82" s="287" t="s">
        <v>2</v>
      </c>
      <c r="C82" s="12"/>
      <c r="D82" s="2"/>
      <c r="E82" s="102" t="e">
        <f>SUM(#REF!)</f>
        <v>#REF!</v>
      </c>
    </row>
    <row r="83" spans="1:5" ht="12.75" hidden="1">
      <c r="A83" s="256">
        <v>4</v>
      </c>
      <c r="B83" s="287" t="s">
        <v>3</v>
      </c>
      <c r="C83" s="12"/>
      <c r="D83" s="2"/>
      <c r="E83" s="102" t="e">
        <f>SUM(#REF!)</f>
        <v>#REF!</v>
      </c>
    </row>
    <row r="84" spans="1:5" ht="12.75" hidden="1">
      <c r="A84" s="256">
        <v>5</v>
      </c>
      <c r="B84" s="287" t="s">
        <v>4</v>
      </c>
      <c r="C84" s="12"/>
      <c r="D84" s="2"/>
      <c r="E84" s="102" t="e">
        <f>SUM(#REF!)</f>
        <v>#REF!</v>
      </c>
    </row>
    <row r="85" spans="1:5" ht="12.75" hidden="1">
      <c r="A85" s="256">
        <v>6</v>
      </c>
      <c r="B85" s="287" t="s">
        <v>5</v>
      </c>
      <c r="C85" s="12"/>
      <c r="D85" s="2"/>
      <c r="E85" s="102" t="e">
        <f>SUM(#REF!)</f>
        <v>#REF!</v>
      </c>
    </row>
    <row r="86" spans="1:5" ht="12.75" hidden="1">
      <c r="A86" s="256">
        <v>7</v>
      </c>
      <c r="B86" s="287" t="s">
        <v>6</v>
      </c>
      <c r="C86" s="12"/>
      <c r="D86" s="2"/>
      <c r="E86" s="102" t="e">
        <f>SUM(#REF!)</f>
        <v>#REF!</v>
      </c>
    </row>
    <row r="87" spans="1:5" ht="12.75" hidden="1">
      <c r="A87" s="256">
        <v>8</v>
      </c>
      <c r="B87" s="287" t="s">
        <v>7</v>
      </c>
      <c r="C87" s="12"/>
      <c r="D87" s="2"/>
      <c r="E87" s="102" t="e">
        <f>SUM(#REF!)</f>
        <v>#REF!</v>
      </c>
    </row>
    <row r="88" spans="1:5" ht="12.75" hidden="1">
      <c r="A88" s="256">
        <v>9</v>
      </c>
      <c r="B88" s="287" t="s">
        <v>8</v>
      </c>
      <c r="C88" s="12"/>
      <c r="D88" s="2"/>
      <c r="E88" s="102" t="e">
        <f>SUM(#REF!)</f>
        <v>#REF!</v>
      </c>
    </row>
    <row r="89" spans="1:5" ht="12.75" hidden="1">
      <c r="A89" s="256">
        <v>10</v>
      </c>
      <c r="B89" s="287" t="s">
        <v>9</v>
      </c>
      <c r="C89" s="12"/>
      <c r="D89" s="2"/>
      <c r="E89" s="102" t="e">
        <f>SUM(#REF!)</f>
        <v>#REF!</v>
      </c>
    </row>
    <row r="90" spans="1:5" ht="12.75" hidden="1">
      <c r="A90" s="256">
        <v>11</v>
      </c>
      <c r="B90" s="287" t="s">
        <v>10</v>
      </c>
      <c r="C90" s="12"/>
      <c r="D90" s="2"/>
      <c r="E90" s="102" t="e">
        <f>SUM(#REF!)</f>
        <v>#REF!</v>
      </c>
    </row>
    <row r="91" spans="1:5" ht="12.75" hidden="1">
      <c r="A91" s="256">
        <v>12</v>
      </c>
      <c r="B91" s="287" t="s">
        <v>11</v>
      </c>
      <c r="C91" s="12"/>
      <c r="D91" s="2"/>
      <c r="E91" s="102" t="e">
        <f>SUM(#REF!)</f>
        <v>#REF!</v>
      </c>
    </row>
    <row r="92" spans="1:5" ht="12.75" hidden="1">
      <c r="A92" s="256">
        <v>13</v>
      </c>
      <c r="B92" s="287" t="s">
        <v>13</v>
      </c>
      <c r="C92" s="12"/>
      <c r="D92" s="2"/>
      <c r="E92" s="102" t="e">
        <f>SUM(#REF!)</f>
        <v>#REF!</v>
      </c>
    </row>
    <row r="93" spans="1:5" ht="12.75" hidden="1">
      <c r="A93" s="256">
        <v>14</v>
      </c>
      <c r="B93" s="287" t="s">
        <v>14</v>
      </c>
      <c r="C93" s="12"/>
      <c r="D93" s="2"/>
      <c r="E93" s="102" t="e">
        <f>SUM(#REF!)</f>
        <v>#REF!</v>
      </c>
    </row>
    <row r="94" spans="1:5" ht="12.75" hidden="1">
      <c r="A94" s="256">
        <v>15</v>
      </c>
      <c r="B94" s="287" t="s">
        <v>15</v>
      </c>
      <c r="C94" s="12"/>
      <c r="D94" s="2"/>
      <c r="E94" s="102" t="e">
        <f>SUM(#REF!)</f>
        <v>#REF!</v>
      </c>
    </row>
    <row r="95" spans="1:5" ht="12.75" hidden="1">
      <c r="A95" s="256">
        <v>16</v>
      </c>
      <c r="B95" s="287" t="s">
        <v>16</v>
      </c>
      <c r="C95" s="12"/>
      <c r="D95" s="2"/>
      <c r="E95" s="102" t="e">
        <f>SUM(#REF!)</f>
        <v>#REF!</v>
      </c>
    </row>
    <row r="96" spans="1:5" ht="12.75" hidden="1">
      <c r="A96" s="256">
        <v>17</v>
      </c>
      <c r="B96" s="287" t="s">
        <v>17</v>
      </c>
      <c r="C96" s="12"/>
      <c r="D96" s="2"/>
      <c r="E96" s="102" t="e">
        <f>SUM(#REF!)</f>
        <v>#REF!</v>
      </c>
    </row>
    <row r="97" spans="1:5" ht="12.75" hidden="1">
      <c r="A97" s="256">
        <v>18</v>
      </c>
      <c r="B97" s="287" t="s">
        <v>18</v>
      </c>
      <c r="C97" s="12"/>
      <c r="D97" s="2"/>
      <c r="E97" s="102" t="e">
        <f>SUM(#REF!)</f>
        <v>#REF!</v>
      </c>
    </row>
    <row r="98" spans="1:5" ht="12.75" hidden="1">
      <c r="A98" s="256">
        <v>19</v>
      </c>
      <c r="B98" s="287" t="s">
        <v>19</v>
      </c>
      <c r="C98" s="12"/>
      <c r="D98" s="2"/>
      <c r="E98" s="102" t="e">
        <f>SUM(#REF!)</f>
        <v>#REF!</v>
      </c>
    </row>
    <row r="99" spans="1:5" ht="12.75" hidden="1">
      <c r="A99" s="256">
        <v>20</v>
      </c>
      <c r="B99" s="287" t="s">
        <v>20</v>
      </c>
      <c r="C99" s="46"/>
      <c r="D99" s="7"/>
      <c r="E99" s="102" t="e">
        <f>SUM(#REF!)</f>
        <v>#REF!</v>
      </c>
    </row>
    <row r="100" spans="1:5" ht="12.75" hidden="1">
      <c r="A100" s="256">
        <v>21</v>
      </c>
      <c r="B100" s="287" t="s">
        <v>21</v>
      </c>
      <c r="C100" s="46"/>
      <c r="D100" s="6"/>
      <c r="E100" s="102" t="e">
        <f>SUM(#REF!)</f>
        <v>#REF!</v>
      </c>
    </row>
    <row r="101" spans="1:5" ht="12.75" hidden="1">
      <c r="A101" s="256">
        <v>22</v>
      </c>
      <c r="B101" s="287" t="s">
        <v>22</v>
      </c>
      <c r="C101" s="46"/>
      <c r="D101" s="6"/>
      <c r="E101" s="102" t="e">
        <f>SUM(#REF!)</f>
        <v>#REF!</v>
      </c>
    </row>
    <row r="102" spans="1:5" ht="12.75" hidden="1">
      <c r="A102" s="256">
        <v>23</v>
      </c>
      <c r="B102" s="287" t="s">
        <v>23</v>
      </c>
      <c r="C102" s="46"/>
      <c r="D102" s="6"/>
      <c r="E102" s="102" t="e">
        <f>SUM(#REF!)</f>
        <v>#REF!</v>
      </c>
    </row>
    <row r="103" spans="1:5" ht="12.75" hidden="1">
      <c r="A103" s="256">
        <v>24</v>
      </c>
      <c r="B103" s="287" t="s">
        <v>24</v>
      </c>
      <c r="C103" s="46"/>
      <c r="D103" s="6"/>
      <c r="E103" s="102" t="e">
        <f>SUM(#REF!)</f>
        <v>#REF!</v>
      </c>
    </row>
    <row r="104" spans="1:5" ht="12.75" hidden="1">
      <c r="A104" s="256">
        <v>25</v>
      </c>
      <c r="B104" s="287" t="s">
        <v>25</v>
      </c>
      <c r="C104" s="46"/>
      <c r="D104" s="6"/>
      <c r="E104" s="102" t="e">
        <f>SUM(#REF!)</f>
        <v>#REF!</v>
      </c>
    </row>
    <row r="105" spans="1:5" ht="12.75" hidden="1">
      <c r="A105" s="256">
        <v>26</v>
      </c>
      <c r="B105" s="287" t="s">
        <v>26</v>
      </c>
      <c r="C105" s="46"/>
      <c r="D105" s="6"/>
      <c r="E105" s="102" t="e">
        <f>SUM(#REF!)</f>
        <v>#REF!</v>
      </c>
    </row>
    <row r="106" spans="1:5" ht="12.75" hidden="1">
      <c r="A106" s="256">
        <v>27</v>
      </c>
      <c r="B106" s="287" t="s">
        <v>27</v>
      </c>
      <c r="C106" s="46"/>
      <c r="D106" s="6"/>
      <c r="E106" s="102" t="e">
        <f>SUM(#REF!)</f>
        <v>#REF!</v>
      </c>
    </row>
    <row r="107" spans="1:5" ht="12.75" hidden="1">
      <c r="A107" s="256">
        <v>28</v>
      </c>
      <c r="B107" s="287" t="s">
        <v>28</v>
      </c>
      <c r="C107" s="46"/>
      <c r="D107" s="6"/>
      <c r="E107" s="102" t="e">
        <f>SUM(#REF!)</f>
        <v>#REF!</v>
      </c>
    </row>
    <row r="108" spans="1:5" ht="12.75" hidden="1">
      <c r="A108" s="256">
        <v>29</v>
      </c>
      <c r="B108" s="277" t="s">
        <v>29</v>
      </c>
      <c r="C108" s="46"/>
      <c r="D108" s="6"/>
      <c r="E108" s="102" t="e">
        <f>SUM(#REF!)</f>
        <v>#REF!</v>
      </c>
    </row>
    <row r="109" spans="1:5" ht="12.75" hidden="1">
      <c r="A109" s="256">
        <v>30</v>
      </c>
      <c r="B109" s="277" t="s">
        <v>37</v>
      </c>
      <c r="C109" s="46"/>
      <c r="D109" s="6"/>
      <c r="E109" s="102" t="e">
        <f>SUM(#REF!)</f>
        <v>#REF!</v>
      </c>
    </row>
    <row r="110" spans="1:5" ht="13.5" hidden="1" thickBot="1">
      <c r="A110" s="284">
        <v>31</v>
      </c>
      <c r="B110" s="278" t="s">
        <v>36</v>
      </c>
      <c r="C110" s="60"/>
      <c r="D110" s="40"/>
      <c r="E110" s="102" t="e">
        <f>SUM(#REF!)</f>
        <v>#REF!</v>
      </c>
    </row>
    <row r="111" spans="1:5" s="137" customFormat="1" ht="13.5" hidden="1" thickBot="1">
      <c r="A111" s="283"/>
      <c r="B111" s="289" t="s">
        <v>12</v>
      </c>
      <c r="C111" s="174">
        <f>SUM(C80:C110)</f>
        <v>0</v>
      </c>
      <c r="D111" s="174">
        <f>SUM(D80:D110)</f>
        <v>0</v>
      </c>
      <c r="E111" s="177" t="e">
        <f>SUM(E80:E110)</f>
        <v>#REF!</v>
      </c>
    </row>
    <row r="112" spans="1:5" s="137" customFormat="1" ht="13.5" hidden="1" thickBot="1">
      <c r="A112" s="282"/>
      <c r="B112" s="258"/>
      <c r="C112" s="159">
        <v>2110</v>
      </c>
      <c r="D112" s="159">
        <v>2111</v>
      </c>
      <c r="E112" s="179" t="e">
        <f>C111+D111+#REF!+#REF!+#REF!+#REF!+#REF!+#REF!+#REF!+#REF!+#REF!+#REF!+#REF!</f>
        <v>#REF!</v>
      </c>
    </row>
    <row r="113" spans="2:5" ht="15" hidden="1">
      <c r="B113" s="51" t="s">
        <v>35</v>
      </c>
      <c r="C113" s="51"/>
      <c r="D113" s="51"/>
      <c r="E113" s="133" t="e">
        <f>SUM(#REF!)</f>
        <v>#REF!</v>
      </c>
    </row>
    <row r="114" spans="2:5" ht="15" hidden="1">
      <c r="B114" s="249" t="s">
        <v>12</v>
      </c>
      <c r="C114" s="261"/>
      <c r="D114" s="261"/>
      <c r="E114" s="262" t="e">
        <f>SUM(E113:E113)</f>
        <v>#REF!</v>
      </c>
    </row>
    <row r="115" spans="2:5" ht="89.25" customHeight="1" hidden="1">
      <c r="B115" s="52"/>
      <c r="C115" s="52"/>
      <c r="D115" s="52"/>
      <c r="E115" s="52"/>
    </row>
    <row r="116" spans="2:5" ht="18.75" hidden="1">
      <c r="B116" s="359" t="s">
        <v>38</v>
      </c>
      <c r="C116" s="359"/>
      <c r="D116" s="359"/>
      <c r="E116" s="359"/>
    </row>
    <row r="117" spans="2:5" ht="18" customHeight="1" hidden="1">
      <c r="B117" s="18" t="s">
        <v>31</v>
      </c>
      <c r="C117" s="159">
        <v>2110</v>
      </c>
      <c r="D117" s="159">
        <v>2111</v>
      </c>
      <c r="E117" s="263" t="s">
        <v>30</v>
      </c>
    </row>
    <row r="118" spans="1:5" ht="12.75" hidden="1">
      <c r="A118" s="187">
        <v>1</v>
      </c>
      <c r="B118" s="276" t="s">
        <v>0</v>
      </c>
      <c r="C118" s="103"/>
      <c r="D118" s="104"/>
      <c r="E118" s="109" t="e">
        <f>SUM(#REF!)</f>
        <v>#REF!</v>
      </c>
    </row>
    <row r="119" spans="1:5" ht="12.75" hidden="1">
      <c r="A119" s="187">
        <v>2</v>
      </c>
      <c r="B119" s="277" t="s">
        <v>1</v>
      </c>
      <c r="C119" s="110"/>
      <c r="D119" s="111"/>
      <c r="E119" s="118" t="e">
        <f>SUM(#REF!)</f>
        <v>#REF!</v>
      </c>
    </row>
    <row r="120" spans="1:5" ht="12.75" hidden="1">
      <c r="A120" s="187">
        <v>3</v>
      </c>
      <c r="B120" s="277" t="s">
        <v>2</v>
      </c>
      <c r="C120" s="110"/>
      <c r="D120" s="111"/>
      <c r="E120" s="118" t="e">
        <f>SUM(#REF!)</f>
        <v>#REF!</v>
      </c>
    </row>
    <row r="121" spans="1:5" ht="12.75" hidden="1">
      <c r="A121" s="187">
        <v>4</v>
      </c>
      <c r="B121" s="277" t="s">
        <v>3</v>
      </c>
      <c r="C121" s="110"/>
      <c r="D121" s="111"/>
      <c r="E121" s="118" t="e">
        <f>SUM(#REF!)</f>
        <v>#REF!</v>
      </c>
    </row>
    <row r="122" spans="1:5" ht="12.75" hidden="1">
      <c r="A122" s="187">
        <v>5</v>
      </c>
      <c r="B122" s="277" t="s">
        <v>4</v>
      </c>
      <c r="C122" s="110"/>
      <c r="D122" s="111"/>
      <c r="E122" s="118" t="e">
        <f>SUM(#REF!)</f>
        <v>#REF!</v>
      </c>
    </row>
    <row r="123" spans="1:5" ht="12.75" hidden="1">
      <c r="A123" s="187">
        <v>6</v>
      </c>
      <c r="B123" s="277" t="s">
        <v>5</v>
      </c>
      <c r="C123" s="110"/>
      <c r="D123" s="111"/>
      <c r="E123" s="118" t="e">
        <f>SUM(#REF!)</f>
        <v>#REF!</v>
      </c>
    </row>
    <row r="124" spans="1:5" ht="12.75" hidden="1">
      <c r="A124" s="187">
        <v>7</v>
      </c>
      <c r="B124" s="277" t="s">
        <v>6</v>
      </c>
      <c r="C124" s="110"/>
      <c r="D124" s="111"/>
      <c r="E124" s="118" t="e">
        <f>SUM(#REF!)</f>
        <v>#REF!</v>
      </c>
    </row>
    <row r="125" spans="1:5" ht="12.75" hidden="1">
      <c r="A125" s="187">
        <v>8</v>
      </c>
      <c r="B125" s="277" t="s">
        <v>7</v>
      </c>
      <c r="C125" s="110"/>
      <c r="D125" s="111"/>
      <c r="E125" s="118" t="e">
        <f>SUM(#REF!)</f>
        <v>#REF!</v>
      </c>
    </row>
    <row r="126" spans="1:5" ht="12.75" hidden="1">
      <c r="A126" s="187">
        <v>9</v>
      </c>
      <c r="B126" s="277" t="s">
        <v>8</v>
      </c>
      <c r="C126" s="110"/>
      <c r="D126" s="111"/>
      <c r="E126" s="118" t="e">
        <f>SUM(#REF!)</f>
        <v>#REF!</v>
      </c>
    </row>
    <row r="127" spans="1:5" ht="12.75" hidden="1">
      <c r="A127" s="187">
        <v>10</v>
      </c>
      <c r="B127" s="277" t="s">
        <v>9</v>
      </c>
      <c r="C127" s="110"/>
      <c r="D127" s="111"/>
      <c r="E127" s="118" t="e">
        <f>SUM(#REF!)</f>
        <v>#REF!</v>
      </c>
    </row>
    <row r="128" spans="1:5" ht="12.75" hidden="1">
      <c r="A128" s="187">
        <v>11</v>
      </c>
      <c r="B128" s="277" t="s">
        <v>10</v>
      </c>
      <c r="C128" s="110"/>
      <c r="D128" s="111"/>
      <c r="E128" s="118" t="e">
        <f>SUM(#REF!)</f>
        <v>#REF!</v>
      </c>
    </row>
    <row r="129" spans="1:5" ht="12" customHeight="1" hidden="1">
      <c r="A129" s="187">
        <v>12</v>
      </c>
      <c r="B129" s="277" t="s">
        <v>11</v>
      </c>
      <c r="C129" s="110"/>
      <c r="D129" s="111"/>
      <c r="E129" s="118" t="e">
        <f>SUM(#REF!)</f>
        <v>#REF!</v>
      </c>
    </row>
    <row r="130" spans="1:5" ht="12.75" hidden="1">
      <c r="A130" s="187">
        <v>13</v>
      </c>
      <c r="B130" s="277" t="s">
        <v>13</v>
      </c>
      <c r="C130" s="110"/>
      <c r="D130" s="111"/>
      <c r="E130" s="118" t="e">
        <f>SUM(#REF!)</f>
        <v>#REF!</v>
      </c>
    </row>
    <row r="131" spans="1:5" ht="12.75" hidden="1">
      <c r="A131" s="187">
        <v>14</v>
      </c>
      <c r="B131" s="277" t="s">
        <v>14</v>
      </c>
      <c r="C131" s="110"/>
      <c r="D131" s="111"/>
      <c r="E131" s="118" t="e">
        <f>SUM(#REF!)</f>
        <v>#REF!</v>
      </c>
    </row>
    <row r="132" spans="1:5" ht="12.75" hidden="1">
      <c r="A132" s="187">
        <v>15</v>
      </c>
      <c r="B132" s="277" t="s">
        <v>15</v>
      </c>
      <c r="C132" s="110"/>
      <c r="D132" s="111"/>
      <c r="E132" s="118" t="e">
        <f>SUM(#REF!)</f>
        <v>#REF!</v>
      </c>
    </row>
    <row r="133" spans="1:5" ht="12.75" hidden="1">
      <c r="A133" s="187">
        <v>16</v>
      </c>
      <c r="B133" s="277" t="s">
        <v>16</v>
      </c>
      <c r="C133" s="110"/>
      <c r="D133" s="111"/>
      <c r="E133" s="118" t="e">
        <f>SUM(#REF!)</f>
        <v>#REF!</v>
      </c>
    </row>
    <row r="134" spans="1:5" ht="12.75" hidden="1">
      <c r="A134" s="187">
        <v>17</v>
      </c>
      <c r="B134" s="277" t="s">
        <v>17</v>
      </c>
      <c r="C134" s="110"/>
      <c r="D134" s="111"/>
      <c r="E134" s="118" t="e">
        <f>SUM(#REF!)</f>
        <v>#REF!</v>
      </c>
    </row>
    <row r="135" spans="1:5" ht="12.75" hidden="1">
      <c r="A135" s="187">
        <v>18</v>
      </c>
      <c r="B135" s="277" t="s">
        <v>18</v>
      </c>
      <c r="C135" s="110"/>
      <c r="D135" s="111"/>
      <c r="E135" s="118" t="e">
        <f>SUM(#REF!)</f>
        <v>#REF!</v>
      </c>
    </row>
    <row r="136" spans="1:5" ht="12.75" hidden="1">
      <c r="A136" s="187">
        <v>19</v>
      </c>
      <c r="B136" s="277" t="s">
        <v>19</v>
      </c>
      <c r="C136" s="110"/>
      <c r="D136" s="111"/>
      <c r="E136" s="118" t="e">
        <f>SUM(#REF!)</f>
        <v>#REF!</v>
      </c>
    </row>
    <row r="137" spans="1:5" ht="12.75" hidden="1">
      <c r="A137" s="187">
        <v>20</v>
      </c>
      <c r="B137" s="277" t="s">
        <v>20</v>
      </c>
      <c r="C137" s="121"/>
      <c r="D137" s="113"/>
      <c r="E137" s="118" t="e">
        <f>SUM(#REF!)</f>
        <v>#REF!</v>
      </c>
    </row>
    <row r="138" spans="1:5" ht="12.75" hidden="1">
      <c r="A138" s="187">
        <v>21</v>
      </c>
      <c r="B138" s="277" t="s">
        <v>21</v>
      </c>
      <c r="C138" s="121"/>
      <c r="D138" s="115"/>
      <c r="E138" s="118" t="e">
        <f>SUM(#REF!)</f>
        <v>#REF!</v>
      </c>
    </row>
    <row r="139" spans="1:5" ht="12.75" hidden="1">
      <c r="A139" s="187">
        <v>22</v>
      </c>
      <c r="B139" s="277" t="s">
        <v>22</v>
      </c>
      <c r="C139" s="121"/>
      <c r="D139" s="115"/>
      <c r="E139" s="118" t="e">
        <f>SUM(#REF!)</f>
        <v>#REF!</v>
      </c>
    </row>
    <row r="140" spans="1:5" ht="12.75" hidden="1">
      <c r="A140" s="187">
        <v>23</v>
      </c>
      <c r="B140" s="277" t="s">
        <v>23</v>
      </c>
      <c r="C140" s="121"/>
      <c r="D140" s="115"/>
      <c r="E140" s="118" t="e">
        <f>SUM(#REF!)</f>
        <v>#REF!</v>
      </c>
    </row>
    <row r="141" spans="1:5" ht="12.75" hidden="1">
      <c r="A141" s="187">
        <v>24</v>
      </c>
      <c r="B141" s="277" t="s">
        <v>24</v>
      </c>
      <c r="C141" s="121"/>
      <c r="D141" s="115"/>
      <c r="E141" s="118" t="e">
        <f>SUM(#REF!)</f>
        <v>#REF!</v>
      </c>
    </row>
    <row r="142" spans="1:5" ht="12.75" hidden="1">
      <c r="A142" s="187">
        <v>25</v>
      </c>
      <c r="B142" s="277" t="s">
        <v>25</v>
      </c>
      <c r="C142" s="121"/>
      <c r="D142" s="115"/>
      <c r="E142" s="118" t="e">
        <f>SUM(#REF!)</f>
        <v>#REF!</v>
      </c>
    </row>
    <row r="143" spans="1:5" ht="12.75" hidden="1">
      <c r="A143" s="187">
        <v>26</v>
      </c>
      <c r="B143" s="277" t="s">
        <v>26</v>
      </c>
      <c r="C143" s="121"/>
      <c r="D143" s="115"/>
      <c r="E143" s="118" t="e">
        <f>SUM(#REF!)</f>
        <v>#REF!</v>
      </c>
    </row>
    <row r="144" spans="1:5" ht="12.75" hidden="1">
      <c r="A144" s="187">
        <v>27</v>
      </c>
      <c r="B144" s="277" t="s">
        <v>27</v>
      </c>
      <c r="C144" s="121"/>
      <c r="D144" s="115"/>
      <c r="E144" s="118" t="e">
        <f>SUM(#REF!)</f>
        <v>#REF!</v>
      </c>
    </row>
    <row r="145" spans="1:5" ht="12.75" hidden="1">
      <c r="A145" s="187">
        <v>28</v>
      </c>
      <c r="B145" s="277" t="s">
        <v>28</v>
      </c>
      <c r="C145" s="121"/>
      <c r="D145" s="115"/>
      <c r="E145" s="118" t="e">
        <f>SUM(#REF!)</f>
        <v>#REF!</v>
      </c>
    </row>
    <row r="146" spans="1:5" ht="12.75" hidden="1">
      <c r="A146" s="187">
        <v>29</v>
      </c>
      <c r="B146" s="277" t="s">
        <v>29</v>
      </c>
      <c r="C146" s="121"/>
      <c r="D146" s="115"/>
      <c r="E146" s="118" t="e">
        <f>SUM(#REF!)</f>
        <v>#REF!</v>
      </c>
    </row>
    <row r="147" spans="1:5" ht="12.75" hidden="1">
      <c r="A147" s="187">
        <v>30</v>
      </c>
      <c r="B147" s="277" t="s">
        <v>37</v>
      </c>
      <c r="C147" s="121"/>
      <c r="D147" s="115"/>
      <c r="E147" s="118" t="e">
        <f>SUM(#REF!)</f>
        <v>#REF!</v>
      </c>
    </row>
    <row r="148" spans="1:5" ht="13.5" hidden="1" thickBot="1">
      <c r="A148" s="187">
        <v>31</v>
      </c>
      <c r="B148" s="278" t="s">
        <v>36</v>
      </c>
      <c r="C148" s="125"/>
      <c r="D148" s="126"/>
      <c r="E148" s="118" t="e">
        <f>SUM(#REF!)</f>
        <v>#REF!</v>
      </c>
    </row>
    <row r="149" spans="2:5" s="137" customFormat="1" ht="13.5" hidden="1" thickBot="1">
      <c r="B149" s="293" t="s">
        <v>12</v>
      </c>
      <c r="C149" s="182">
        <f>SUM(C137:C148)</f>
        <v>0</v>
      </c>
      <c r="D149" s="182">
        <f>SUM(D137:D148)</f>
        <v>0</v>
      </c>
      <c r="E149" s="179" t="e">
        <f>SUM(E118:E147)+E148</f>
        <v>#REF!</v>
      </c>
    </row>
    <row r="150" spans="2:5" s="137" customFormat="1" ht="13.5" hidden="1" thickBot="1">
      <c r="B150" s="138"/>
      <c r="C150" s="159">
        <v>2110</v>
      </c>
      <c r="D150" s="159">
        <v>2111</v>
      </c>
      <c r="E150" s="179" t="e">
        <f>C149+D149+#REF!+#REF!+#REF!+#REF!+#REF!+#REF!+#REF!+#REF!+#REF!+#REF!+#REF!</f>
        <v>#REF!</v>
      </c>
    </row>
    <row r="151" spans="2:5" s="137" customFormat="1" ht="15.75" hidden="1" thickBot="1">
      <c r="B151" s="51" t="s">
        <v>35</v>
      </c>
      <c r="C151" s="51"/>
      <c r="D151" s="51"/>
      <c r="E151" s="179" t="e">
        <f>SUM(#REF!)</f>
        <v>#REF!</v>
      </c>
    </row>
    <row r="152" spans="2:5" ht="15" hidden="1">
      <c r="B152" s="249" t="s">
        <v>12</v>
      </c>
      <c r="C152" s="261"/>
      <c r="D152" s="261"/>
      <c r="E152" s="262" t="e">
        <f>SUM(#REF!)</f>
        <v>#REF!</v>
      </c>
    </row>
    <row r="153" spans="2:5" ht="15.75" hidden="1">
      <c r="B153" s="360"/>
      <c r="C153" s="360"/>
      <c r="D153" s="360"/>
      <c r="E153" s="360"/>
    </row>
    <row r="154" spans="2:5" ht="15.75" hidden="1">
      <c r="B154" s="52"/>
      <c r="C154" s="52"/>
      <c r="D154" s="52"/>
      <c r="E154" s="52"/>
    </row>
    <row r="155" spans="2:5" ht="15" hidden="1">
      <c r="B155" s="361" t="s">
        <v>42</v>
      </c>
      <c r="C155" s="361"/>
      <c r="D155" s="361"/>
      <c r="E155" s="361"/>
    </row>
    <row r="156" spans="2:5" ht="13.5" hidden="1" thickBot="1">
      <c r="B156" s="315" t="s">
        <v>31</v>
      </c>
      <c r="C156" s="162">
        <v>2110</v>
      </c>
      <c r="D156" s="162">
        <v>2111</v>
      </c>
      <c r="E156" s="173" t="s">
        <v>30</v>
      </c>
    </row>
    <row r="157" spans="1:5" ht="12.75" hidden="1">
      <c r="A157" s="187">
        <v>1</v>
      </c>
      <c r="B157" s="276" t="s">
        <v>0</v>
      </c>
      <c r="C157" s="35"/>
      <c r="D157" s="36"/>
      <c r="E157" s="23" t="e">
        <f>SUM(#REF!)</f>
        <v>#REF!</v>
      </c>
    </row>
    <row r="158" spans="1:5" ht="12.75" hidden="1">
      <c r="A158" s="187">
        <v>2</v>
      </c>
      <c r="B158" s="277" t="s">
        <v>1</v>
      </c>
      <c r="C158" s="12"/>
      <c r="D158" s="2"/>
      <c r="E158" s="29" t="e">
        <f>SUM(#REF!)</f>
        <v>#REF!</v>
      </c>
    </row>
    <row r="159" spans="1:5" ht="12.75" hidden="1">
      <c r="A159" s="187">
        <v>3</v>
      </c>
      <c r="B159" s="277" t="s">
        <v>2</v>
      </c>
      <c r="C159" s="12"/>
      <c r="D159" s="2"/>
      <c r="E159" s="29" t="e">
        <f>SUM(#REF!)</f>
        <v>#REF!</v>
      </c>
    </row>
    <row r="160" spans="1:5" ht="12.75" hidden="1">
      <c r="A160" s="187">
        <v>4</v>
      </c>
      <c r="B160" s="277" t="s">
        <v>3</v>
      </c>
      <c r="C160" s="12"/>
      <c r="D160" s="2"/>
      <c r="E160" s="29" t="e">
        <f>SUM(#REF!)</f>
        <v>#REF!</v>
      </c>
    </row>
    <row r="161" spans="1:5" ht="12.75" hidden="1">
      <c r="A161" s="187">
        <v>5</v>
      </c>
      <c r="B161" s="277" t="s">
        <v>4</v>
      </c>
      <c r="C161" s="12"/>
      <c r="D161" s="2"/>
      <c r="E161" s="29" t="e">
        <f>SUM(#REF!)</f>
        <v>#REF!</v>
      </c>
    </row>
    <row r="162" spans="1:5" ht="12.75" hidden="1">
      <c r="A162" s="187">
        <v>6</v>
      </c>
      <c r="B162" s="277" t="s">
        <v>5</v>
      </c>
      <c r="C162" s="12"/>
      <c r="D162" s="2"/>
      <c r="E162" s="29" t="e">
        <f>SUM(#REF!)</f>
        <v>#REF!</v>
      </c>
    </row>
    <row r="163" spans="1:5" ht="12.75" hidden="1">
      <c r="A163" s="187">
        <v>7</v>
      </c>
      <c r="B163" s="277" t="s">
        <v>6</v>
      </c>
      <c r="C163" s="12"/>
      <c r="D163" s="2"/>
      <c r="E163" s="29" t="e">
        <f>SUM(#REF!)</f>
        <v>#REF!</v>
      </c>
    </row>
    <row r="164" spans="1:5" ht="12.75" hidden="1">
      <c r="A164" s="187">
        <v>8</v>
      </c>
      <c r="B164" s="277" t="s">
        <v>7</v>
      </c>
      <c r="C164" s="12"/>
      <c r="D164" s="2"/>
      <c r="E164" s="29" t="e">
        <f>SUM(#REF!)</f>
        <v>#REF!</v>
      </c>
    </row>
    <row r="165" spans="1:5" ht="12.75" hidden="1">
      <c r="A165" s="187">
        <v>9</v>
      </c>
      <c r="B165" s="277" t="s">
        <v>8</v>
      </c>
      <c r="C165" s="12"/>
      <c r="D165" s="2"/>
      <c r="E165" s="29" t="e">
        <f>SUM(#REF!)</f>
        <v>#REF!</v>
      </c>
    </row>
    <row r="166" spans="1:5" ht="12.75" hidden="1">
      <c r="A166" s="187">
        <v>10</v>
      </c>
      <c r="B166" s="277" t="s">
        <v>9</v>
      </c>
      <c r="C166" s="12"/>
      <c r="D166" s="2"/>
      <c r="E166" s="29" t="e">
        <f>SUM(#REF!)</f>
        <v>#REF!</v>
      </c>
    </row>
    <row r="167" spans="1:5" ht="12.75" hidden="1">
      <c r="A167" s="187">
        <v>11</v>
      </c>
      <c r="B167" s="277" t="s">
        <v>10</v>
      </c>
      <c r="C167" s="12"/>
      <c r="D167" s="2"/>
      <c r="E167" s="29" t="e">
        <f>SUM(#REF!)</f>
        <v>#REF!</v>
      </c>
    </row>
    <row r="168" spans="1:5" ht="12.75" hidden="1">
      <c r="A168" s="187">
        <v>12</v>
      </c>
      <c r="B168" s="277" t="s">
        <v>11</v>
      </c>
      <c r="C168" s="12"/>
      <c r="D168" s="2"/>
      <c r="E168" s="29" t="e">
        <f>SUM(#REF!)</f>
        <v>#REF!</v>
      </c>
    </row>
    <row r="169" spans="1:5" ht="12.75" hidden="1">
      <c r="A169" s="187">
        <v>13</v>
      </c>
      <c r="B169" s="277" t="s">
        <v>13</v>
      </c>
      <c r="C169" s="12"/>
      <c r="D169" s="2"/>
      <c r="E169" s="29" t="e">
        <f>SUM(#REF!)</f>
        <v>#REF!</v>
      </c>
    </row>
    <row r="170" spans="1:5" ht="12.75" hidden="1">
      <c r="A170" s="187">
        <v>14</v>
      </c>
      <c r="B170" s="277" t="s">
        <v>14</v>
      </c>
      <c r="C170" s="12"/>
      <c r="D170" s="2"/>
      <c r="E170" s="29" t="e">
        <f>SUM(#REF!)</f>
        <v>#REF!</v>
      </c>
    </row>
    <row r="171" spans="1:5" ht="12.75" hidden="1">
      <c r="A171" s="187">
        <v>15</v>
      </c>
      <c r="B171" s="277" t="s">
        <v>15</v>
      </c>
      <c r="C171" s="12"/>
      <c r="D171" s="2"/>
      <c r="E171" s="29" t="e">
        <f>SUM(#REF!)</f>
        <v>#REF!</v>
      </c>
    </row>
    <row r="172" spans="1:5" ht="12.75" hidden="1">
      <c r="A172" s="187">
        <v>16</v>
      </c>
      <c r="B172" s="277" t="s">
        <v>16</v>
      </c>
      <c r="C172" s="12"/>
      <c r="D172" s="2"/>
      <c r="E172" s="29" t="e">
        <f>SUM(#REF!)</f>
        <v>#REF!</v>
      </c>
    </row>
    <row r="173" spans="1:5" ht="12.75" hidden="1">
      <c r="A173" s="187">
        <v>17</v>
      </c>
      <c r="B173" s="277" t="s">
        <v>17</v>
      </c>
      <c r="C173" s="12"/>
      <c r="D173" s="2"/>
      <c r="E173" s="29" t="e">
        <f>SUM(#REF!)</f>
        <v>#REF!</v>
      </c>
    </row>
    <row r="174" spans="1:5" ht="12.75" hidden="1">
      <c r="A174" s="187">
        <v>18</v>
      </c>
      <c r="B174" s="277" t="s">
        <v>18</v>
      </c>
      <c r="C174" s="12"/>
      <c r="D174" s="2"/>
      <c r="E174" s="29" t="e">
        <f>SUM(#REF!)</f>
        <v>#REF!</v>
      </c>
    </row>
    <row r="175" spans="1:5" ht="12.75" hidden="1">
      <c r="A175" s="187">
        <v>19</v>
      </c>
      <c r="B175" s="277" t="s">
        <v>19</v>
      </c>
      <c r="C175" s="12"/>
      <c r="D175" s="2"/>
      <c r="E175" s="29" t="e">
        <f>SUM(#REF!)</f>
        <v>#REF!</v>
      </c>
    </row>
    <row r="176" spans="1:5" ht="12.75" hidden="1">
      <c r="A176" s="187">
        <v>20</v>
      </c>
      <c r="B176" s="277" t="s">
        <v>20</v>
      </c>
      <c r="C176" s="46"/>
      <c r="D176" s="7"/>
      <c r="E176" s="29" t="e">
        <f>SUM(#REF!)</f>
        <v>#REF!</v>
      </c>
    </row>
    <row r="177" spans="1:5" ht="12.75" hidden="1">
      <c r="A177" s="187">
        <v>21</v>
      </c>
      <c r="B177" s="277" t="s">
        <v>21</v>
      </c>
      <c r="C177" s="46"/>
      <c r="D177" s="6"/>
      <c r="E177" s="29" t="e">
        <f>SUM(#REF!)</f>
        <v>#REF!</v>
      </c>
    </row>
    <row r="178" spans="1:5" ht="12.75" hidden="1">
      <c r="A178" s="187">
        <v>22</v>
      </c>
      <c r="B178" s="277" t="s">
        <v>22</v>
      </c>
      <c r="C178" s="46"/>
      <c r="D178" s="6"/>
      <c r="E178" s="29" t="e">
        <f>SUM(#REF!)</f>
        <v>#REF!</v>
      </c>
    </row>
    <row r="179" spans="1:5" ht="12.75" hidden="1">
      <c r="A179" s="187">
        <v>23</v>
      </c>
      <c r="B179" s="277" t="s">
        <v>23</v>
      </c>
      <c r="C179" s="46"/>
      <c r="D179" s="6"/>
      <c r="E179" s="29" t="e">
        <f>SUM(#REF!)</f>
        <v>#REF!</v>
      </c>
    </row>
    <row r="180" spans="1:5" ht="12.75" hidden="1">
      <c r="A180" s="187">
        <v>24</v>
      </c>
      <c r="B180" s="277" t="s">
        <v>24</v>
      </c>
      <c r="C180" s="46"/>
      <c r="D180" s="6"/>
      <c r="E180" s="29" t="e">
        <f>SUM(#REF!)</f>
        <v>#REF!</v>
      </c>
    </row>
    <row r="181" spans="1:5" ht="12.75" hidden="1">
      <c r="A181" s="187">
        <v>25</v>
      </c>
      <c r="B181" s="277" t="s">
        <v>25</v>
      </c>
      <c r="C181" s="46"/>
      <c r="D181" s="6"/>
      <c r="E181" s="29" t="e">
        <f>SUM(#REF!)</f>
        <v>#REF!</v>
      </c>
    </row>
    <row r="182" spans="1:5" ht="12.75" hidden="1">
      <c r="A182" s="187">
        <v>26</v>
      </c>
      <c r="B182" s="277" t="s">
        <v>26</v>
      </c>
      <c r="C182" s="46"/>
      <c r="D182" s="6"/>
      <c r="E182" s="29" t="e">
        <f>SUM(#REF!)</f>
        <v>#REF!</v>
      </c>
    </row>
    <row r="183" spans="1:5" ht="12.75" hidden="1">
      <c r="A183" s="187">
        <v>27</v>
      </c>
      <c r="B183" s="277" t="s">
        <v>27</v>
      </c>
      <c r="C183" s="46"/>
      <c r="D183" s="6"/>
      <c r="E183" s="29" t="e">
        <f>SUM(#REF!)</f>
        <v>#REF!</v>
      </c>
    </row>
    <row r="184" spans="1:5" ht="12.75" hidden="1">
      <c r="A184" s="187">
        <v>28</v>
      </c>
      <c r="B184" s="277" t="s">
        <v>28</v>
      </c>
      <c r="C184" s="46"/>
      <c r="D184" s="6"/>
      <c r="E184" s="29" t="e">
        <f>SUM(#REF!)</f>
        <v>#REF!</v>
      </c>
    </row>
    <row r="185" spans="1:5" ht="12.75" hidden="1">
      <c r="A185" s="187">
        <v>29</v>
      </c>
      <c r="B185" s="277" t="s">
        <v>29</v>
      </c>
      <c r="C185" s="46"/>
      <c r="D185" s="6"/>
      <c r="E185" s="29" t="e">
        <f>SUM(#REF!)</f>
        <v>#REF!</v>
      </c>
    </row>
    <row r="186" spans="1:5" ht="12.75" hidden="1">
      <c r="A186" s="187">
        <v>30</v>
      </c>
      <c r="B186" s="277" t="s">
        <v>37</v>
      </c>
      <c r="C186" s="46"/>
      <c r="D186" s="6"/>
      <c r="E186" s="29" t="e">
        <f>SUM(#REF!)</f>
        <v>#REF!</v>
      </c>
    </row>
    <row r="187" spans="1:5" ht="13.5" hidden="1" thickBot="1">
      <c r="A187" s="187">
        <v>31</v>
      </c>
      <c r="B187" s="278" t="s">
        <v>36</v>
      </c>
      <c r="C187" s="60"/>
      <c r="D187" s="40"/>
      <c r="E187" s="29" t="e">
        <f>SUM(#REF!)</f>
        <v>#REF!</v>
      </c>
    </row>
    <row r="188" spans="2:5" ht="13.5" hidden="1" thickBot="1">
      <c r="B188" s="48" t="s">
        <v>12</v>
      </c>
      <c r="C188" s="89">
        <f>SUM(C176:C187)</f>
        <v>0</v>
      </c>
      <c r="D188" s="89">
        <f>SUM(D176:D187)</f>
        <v>0</v>
      </c>
      <c r="E188" s="19" t="e">
        <f>SUM(E157:E186)+E187</f>
        <v>#REF!</v>
      </c>
    </row>
    <row r="189" spans="2:5" ht="13.5" hidden="1" thickBot="1">
      <c r="B189" s="61"/>
      <c r="C189" s="162">
        <v>2110</v>
      </c>
      <c r="D189" s="162">
        <v>2111</v>
      </c>
      <c r="E189" s="19" t="e">
        <f>#REF!+#REF!+#REF!+#REF!+#REF!+#REF!+#REF!+#REF!+#REF!+#REF!+#REF!</f>
        <v>#REF!</v>
      </c>
    </row>
    <row r="190" spans="2:5" ht="15" customHeight="1" hidden="1">
      <c r="B190" s="51" t="s">
        <v>35</v>
      </c>
      <c r="C190" s="264"/>
      <c r="D190" s="264"/>
      <c r="E190" s="179" t="e">
        <f>#REF!+#REF!+#REF!+#REF!+#REF!+#REF!+#REF!+#REF!+#REF!+#REF!+#REF!+#REF!</f>
        <v>#REF!</v>
      </c>
    </row>
    <row r="191" spans="2:5" ht="15.75" customHeight="1" hidden="1">
      <c r="B191" s="249" t="s">
        <v>12</v>
      </c>
      <c r="C191" s="51"/>
      <c r="D191" s="51"/>
      <c r="E191" s="262" t="e">
        <f>SUM(#REF!)</f>
        <v>#REF!</v>
      </c>
    </row>
    <row r="192" spans="2:5" ht="15.75" hidden="1">
      <c r="B192" s="52"/>
      <c r="C192" s="52"/>
      <c r="D192" s="52"/>
      <c r="E192" s="52"/>
    </row>
    <row r="193" spans="2:5" ht="15.75" hidden="1">
      <c r="B193" s="52"/>
      <c r="C193" s="52"/>
      <c r="D193" s="52"/>
      <c r="E193" s="52"/>
    </row>
    <row r="194" spans="2:5" ht="15" hidden="1">
      <c r="B194" s="361" t="s">
        <v>43</v>
      </c>
      <c r="C194" s="361"/>
      <c r="D194" s="361"/>
      <c r="E194" s="361"/>
    </row>
    <row r="195" spans="2:5" ht="13.5" hidden="1" thickBot="1">
      <c r="B195" s="13" t="s">
        <v>31</v>
      </c>
      <c r="C195" s="162">
        <v>2110</v>
      </c>
      <c r="D195" s="162">
        <v>2111</v>
      </c>
      <c r="E195" s="173" t="s">
        <v>30</v>
      </c>
    </row>
    <row r="196" spans="1:5" ht="12.75" hidden="1">
      <c r="A196" s="186">
        <v>1</v>
      </c>
      <c r="B196" s="276" t="s">
        <v>0</v>
      </c>
      <c r="C196" s="35"/>
      <c r="D196" s="36"/>
      <c r="E196" s="23" t="e">
        <f>SUM(#REF!)</f>
        <v>#REF!</v>
      </c>
    </row>
    <row r="197" spans="1:5" ht="12.75" hidden="1">
      <c r="A197" s="186">
        <v>2</v>
      </c>
      <c r="B197" s="277" t="s">
        <v>1</v>
      </c>
      <c r="C197" s="12"/>
      <c r="D197" s="2"/>
      <c r="E197" s="29" t="e">
        <f>SUM(#REF!)</f>
        <v>#REF!</v>
      </c>
    </row>
    <row r="198" spans="1:5" ht="12.75" hidden="1">
      <c r="A198" s="186">
        <v>3</v>
      </c>
      <c r="B198" s="277" t="s">
        <v>2</v>
      </c>
      <c r="C198" s="12"/>
      <c r="D198" s="2"/>
      <c r="E198" s="29" t="e">
        <f>SUM(#REF!)</f>
        <v>#REF!</v>
      </c>
    </row>
    <row r="199" spans="1:5" ht="12.75" hidden="1">
      <c r="A199" s="186">
        <v>4</v>
      </c>
      <c r="B199" s="277" t="s">
        <v>3</v>
      </c>
      <c r="C199" s="12"/>
      <c r="D199" s="2"/>
      <c r="E199" s="29" t="e">
        <f>SUM(#REF!)</f>
        <v>#REF!</v>
      </c>
    </row>
    <row r="200" spans="1:5" ht="12.75" hidden="1">
      <c r="A200" s="186">
        <v>5</v>
      </c>
      <c r="B200" s="277" t="s">
        <v>4</v>
      </c>
      <c r="C200" s="12"/>
      <c r="D200" s="2"/>
      <c r="E200" s="29" t="e">
        <f>SUM(#REF!)</f>
        <v>#REF!</v>
      </c>
    </row>
    <row r="201" spans="1:5" ht="12.75" hidden="1">
      <c r="A201" s="186">
        <v>6</v>
      </c>
      <c r="B201" s="277" t="s">
        <v>5</v>
      </c>
      <c r="C201" s="12"/>
      <c r="D201" s="2"/>
      <c r="E201" s="29" t="e">
        <f>SUM(#REF!)</f>
        <v>#REF!</v>
      </c>
    </row>
    <row r="202" spans="1:5" ht="12.75" hidden="1">
      <c r="A202" s="186">
        <v>7</v>
      </c>
      <c r="B202" s="277" t="s">
        <v>6</v>
      </c>
      <c r="C202" s="12"/>
      <c r="D202" s="2"/>
      <c r="E202" s="29" t="e">
        <f>SUM(#REF!)</f>
        <v>#REF!</v>
      </c>
    </row>
    <row r="203" spans="1:5" ht="12.75" hidden="1">
      <c r="A203" s="186">
        <v>8</v>
      </c>
      <c r="B203" s="277" t="s">
        <v>7</v>
      </c>
      <c r="C203" s="12"/>
      <c r="D203" s="2"/>
      <c r="E203" s="29" t="e">
        <f>SUM(#REF!)</f>
        <v>#REF!</v>
      </c>
    </row>
    <row r="204" spans="1:5" ht="12.75" hidden="1">
      <c r="A204" s="186">
        <v>9</v>
      </c>
      <c r="B204" s="277" t="s">
        <v>8</v>
      </c>
      <c r="C204" s="12"/>
      <c r="D204" s="2"/>
      <c r="E204" s="29" t="e">
        <f>SUM(#REF!)</f>
        <v>#REF!</v>
      </c>
    </row>
    <row r="205" spans="1:5" ht="12.75" hidden="1">
      <c r="A205" s="186">
        <v>10</v>
      </c>
      <c r="B205" s="277" t="s">
        <v>9</v>
      </c>
      <c r="C205" s="12"/>
      <c r="D205" s="2"/>
      <c r="E205" s="29" t="e">
        <f>SUM(#REF!)</f>
        <v>#REF!</v>
      </c>
    </row>
    <row r="206" spans="1:5" ht="12.75" hidden="1">
      <c r="A206" s="186">
        <v>11</v>
      </c>
      <c r="B206" s="277" t="s">
        <v>10</v>
      </c>
      <c r="C206" s="12"/>
      <c r="D206" s="2"/>
      <c r="E206" s="29" t="e">
        <f>SUM(#REF!)</f>
        <v>#REF!</v>
      </c>
    </row>
    <row r="207" spans="1:5" ht="12.75" hidden="1">
      <c r="A207" s="186">
        <v>12</v>
      </c>
      <c r="B207" s="277" t="s">
        <v>11</v>
      </c>
      <c r="C207" s="12"/>
      <c r="D207" s="2"/>
      <c r="E207" s="29" t="e">
        <f>SUM(#REF!)</f>
        <v>#REF!</v>
      </c>
    </row>
    <row r="208" spans="1:5" ht="12.75" hidden="1">
      <c r="A208" s="186">
        <v>13</v>
      </c>
      <c r="B208" s="277" t="s">
        <v>33</v>
      </c>
      <c r="C208" s="12"/>
      <c r="D208" s="2"/>
      <c r="E208" s="29" t="e">
        <f>SUM(#REF!)</f>
        <v>#REF!</v>
      </c>
    </row>
    <row r="209" spans="1:5" ht="12.75" hidden="1">
      <c r="A209" s="186">
        <v>14</v>
      </c>
      <c r="B209" s="277" t="s">
        <v>14</v>
      </c>
      <c r="C209" s="12"/>
      <c r="D209" s="2"/>
      <c r="E209" s="29" t="e">
        <f>SUM(#REF!)</f>
        <v>#REF!</v>
      </c>
    </row>
    <row r="210" spans="1:5" ht="12.75" hidden="1">
      <c r="A210" s="186">
        <v>15</v>
      </c>
      <c r="B210" s="277" t="s">
        <v>15</v>
      </c>
      <c r="C210" s="12"/>
      <c r="D210" s="2"/>
      <c r="E210" s="29" t="e">
        <f>SUM(#REF!)</f>
        <v>#REF!</v>
      </c>
    </row>
    <row r="211" spans="1:5" ht="12.75" hidden="1">
      <c r="A211" s="186">
        <v>16</v>
      </c>
      <c r="B211" s="277" t="s">
        <v>16</v>
      </c>
      <c r="C211" s="12"/>
      <c r="D211" s="2"/>
      <c r="E211" s="29" t="e">
        <f>SUM(#REF!)</f>
        <v>#REF!</v>
      </c>
    </row>
    <row r="212" spans="1:5" ht="12.75" hidden="1">
      <c r="A212" s="186">
        <v>17</v>
      </c>
      <c r="B212" s="277" t="s">
        <v>17</v>
      </c>
      <c r="C212" s="12"/>
      <c r="D212" s="2"/>
      <c r="E212" s="29" t="e">
        <f>SUM(#REF!)</f>
        <v>#REF!</v>
      </c>
    </row>
    <row r="213" spans="1:5" ht="12.75" hidden="1">
      <c r="A213" s="186">
        <v>18</v>
      </c>
      <c r="B213" s="277" t="s">
        <v>18</v>
      </c>
      <c r="C213" s="12"/>
      <c r="D213" s="2"/>
      <c r="E213" s="29" t="e">
        <f>SUM(#REF!)</f>
        <v>#REF!</v>
      </c>
    </row>
    <row r="214" spans="1:5" ht="12.75" hidden="1">
      <c r="A214" s="186">
        <v>19</v>
      </c>
      <c r="B214" s="277" t="s">
        <v>19</v>
      </c>
      <c r="C214" s="12"/>
      <c r="D214" s="2"/>
      <c r="E214" s="29" t="e">
        <f>SUM(#REF!)</f>
        <v>#REF!</v>
      </c>
    </row>
    <row r="215" spans="1:5" ht="12.75" hidden="1">
      <c r="A215" s="186">
        <v>20</v>
      </c>
      <c r="B215" s="277" t="s">
        <v>20</v>
      </c>
      <c r="C215" s="46"/>
      <c r="D215" s="7"/>
      <c r="E215" s="29" t="e">
        <f>SUM(#REF!)</f>
        <v>#REF!</v>
      </c>
    </row>
    <row r="216" spans="1:5" ht="12.75" hidden="1">
      <c r="A216" s="186">
        <v>21</v>
      </c>
      <c r="B216" s="277" t="s">
        <v>21</v>
      </c>
      <c r="C216" s="46"/>
      <c r="D216" s="6"/>
      <c r="E216" s="29" t="e">
        <f>SUM(#REF!)</f>
        <v>#REF!</v>
      </c>
    </row>
    <row r="217" spans="1:5" ht="12.75" hidden="1">
      <c r="A217" s="186">
        <v>22</v>
      </c>
      <c r="B217" s="277" t="s">
        <v>22</v>
      </c>
      <c r="C217" s="46"/>
      <c r="D217" s="6"/>
      <c r="E217" s="29" t="e">
        <f>SUM(#REF!)</f>
        <v>#REF!</v>
      </c>
    </row>
    <row r="218" spans="1:5" ht="12.75" hidden="1">
      <c r="A218" s="186">
        <v>23</v>
      </c>
      <c r="B218" s="277" t="s">
        <v>23</v>
      </c>
      <c r="C218" s="46"/>
      <c r="D218" s="6"/>
      <c r="E218" s="29" t="e">
        <f>SUM(#REF!)</f>
        <v>#REF!</v>
      </c>
    </row>
    <row r="219" spans="1:5" ht="12.75" hidden="1">
      <c r="A219" s="186">
        <v>24</v>
      </c>
      <c r="B219" s="277" t="s">
        <v>24</v>
      </c>
      <c r="C219" s="46"/>
      <c r="D219" s="6"/>
      <c r="E219" s="29" t="e">
        <f>SUM(#REF!)</f>
        <v>#REF!</v>
      </c>
    </row>
    <row r="220" spans="1:5" ht="12.75" hidden="1">
      <c r="A220" s="186">
        <v>25</v>
      </c>
      <c r="B220" s="277" t="s">
        <v>25</v>
      </c>
      <c r="C220" s="46"/>
      <c r="D220" s="6"/>
      <c r="E220" s="29" t="e">
        <f>SUM(#REF!)</f>
        <v>#REF!</v>
      </c>
    </row>
    <row r="221" spans="1:5" ht="12.75" hidden="1">
      <c r="A221" s="186">
        <v>26</v>
      </c>
      <c r="B221" s="277" t="s">
        <v>26</v>
      </c>
      <c r="C221" s="46"/>
      <c r="D221" s="6"/>
      <c r="E221" s="29" t="e">
        <f>SUM(#REF!)</f>
        <v>#REF!</v>
      </c>
    </row>
    <row r="222" spans="1:5" ht="12.75" hidden="1">
      <c r="A222" s="186">
        <v>27</v>
      </c>
      <c r="B222" s="277" t="s">
        <v>27</v>
      </c>
      <c r="C222" s="46"/>
      <c r="D222" s="6"/>
      <c r="E222" s="29" t="e">
        <f>SUM(#REF!)</f>
        <v>#REF!</v>
      </c>
    </row>
    <row r="223" spans="1:5" ht="12.75" hidden="1">
      <c r="A223" s="186">
        <v>28</v>
      </c>
      <c r="B223" s="277" t="s">
        <v>28</v>
      </c>
      <c r="C223" s="46"/>
      <c r="D223" s="6"/>
      <c r="E223" s="29" t="e">
        <f>SUM(#REF!)</f>
        <v>#REF!</v>
      </c>
    </row>
    <row r="224" spans="1:5" ht="12.75" hidden="1">
      <c r="A224" s="186">
        <v>29</v>
      </c>
      <c r="B224" s="277" t="s">
        <v>29</v>
      </c>
      <c r="C224" s="46"/>
      <c r="D224" s="6"/>
      <c r="E224" s="29" t="e">
        <f>SUM(#REF!)</f>
        <v>#REF!</v>
      </c>
    </row>
    <row r="225" spans="1:5" ht="12.75" hidden="1">
      <c r="A225" s="186">
        <v>30</v>
      </c>
      <c r="B225" s="277" t="s">
        <v>37</v>
      </c>
      <c r="C225" s="46"/>
      <c r="D225" s="6"/>
      <c r="E225" s="29" t="e">
        <f>SUM(#REF!)</f>
        <v>#REF!</v>
      </c>
    </row>
    <row r="226" spans="1:5" ht="13.5" hidden="1" thickBot="1">
      <c r="A226" s="186">
        <v>31</v>
      </c>
      <c r="B226" s="278" t="s">
        <v>36</v>
      </c>
      <c r="C226" s="60"/>
      <c r="D226" s="40"/>
      <c r="E226" s="29" t="e">
        <f>SUM(#REF!)</f>
        <v>#REF!</v>
      </c>
    </row>
    <row r="227" spans="2:5" ht="13.5" hidden="1" thickBot="1">
      <c r="B227" s="24" t="s">
        <v>12</v>
      </c>
      <c r="C227" s="89">
        <f>SUM(C215:C226)</f>
        <v>0</v>
      </c>
      <c r="D227" s="89">
        <f>SUM(D215:D226)</f>
        <v>0</v>
      </c>
      <c r="E227" s="19" t="e">
        <f>SUM(E196:E225)+E226</f>
        <v>#REF!</v>
      </c>
    </row>
    <row r="228" spans="2:5" ht="13.5" hidden="1" thickBot="1">
      <c r="B228" s="61"/>
      <c r="C228" s="162">
        <v>2110</v>
      </c>
      <c r="D228" s="162">
        <v>2111</v>
      </c>
      <c r="E228" s="19" t="e">
        <f>#REF!+#REF!+#REF!+#REF!+#REF!+#REF!+#REF!+#REF!+#REF!+#REF!</f>
        <v>#REF!</v>
      </c>
    </row>
    <row r="229" spans="2:5" ht="15.75" hidden="1" thickBot="1">
      <c r="B229" s="51" t="s">
        <v>35</v>
      </c>
      <c r="C229" s="91"/>
      <c r="D229" s="91"/>
      <c r="E229" s="179" t="e">
        <f>#REF!+#REF!+#REF!+#REF!+#REF!+#REF!+#REF!+#REF!+#REF!+#REF!+#REF!+#REF!</f>
        <v>#REF!</v>
      </c>
    </row>
    <row r="230" spans="2:5" ht="15.75" hidden="1">
      <c r="B230" s="249" t="s">
        <v>12</v>
      </c>
      <c r="C230" s="65"/>
      <c r="D230" s="65"/>
      <c r="E230" s="294" t="e">
        <f>SUM(#REF!)</f>
        <v>#REF!</v>
      </c>
    </row>
    <row r="231" spans="2:5" ht="15.75" hidden="1">
      <c r="B231" s="52"/>
      <c r="C231" s="52"/>
      <c r="D231" s="52"/>
      <c r="E231" s="52"/>
    </row>
    <row r="232" spans="2:5" ht="15.75" hidden="1">
      <c r="B232" s="52"/>
      <c r="C232" s="52"/>
      <c r="D232" s="52"/>
      <c r="E232" s="52"/>
    </row>
    <row r="233" spans="2:5" ht="15.75" hidden="1">
      <c r="B233" s="52"/>
      <c r="C233" s="52"/>
      <c r="D233" s="52"/>
      <c r="E233" s="52"/>
    </row>
    <row r="234" spans="2:5" ht="15.75" hidden="1">
      <c r="B234" s="360"/>
      <c r="C234" s="360"/>
      <c r="D234" s="360"/>
      <c r="E234" s="360"/>
    </row>
    <row r="235" spans="2:5" ht="15" hidden="1">
      <c r="B235" s="361" t="s">
        <v>44</v>
      </c>
      <c r="C235" s="361"/>
      <c r="D235" s="361"/>
      <c r="E235" s="361"/>
    </row>
    <row r="236" spans="2:5" ht="13.5" hidden="1" thickBot="1">
      <c r="B236" s="291" t="s">
        <v>31</v>
      </c>
      <c r="C236" s="162">
        <v>2110</v>
      </c>
      <c r="D236" s="162">
        <v>2111</v>
      </c>
      <c r="E236" s="173" t="s">
        <v>30</v>
      </c>
    </row>
    <row r="237" spans="1:5" ht="12.75" hidden="1">
      <c r="A237" s="186">
        <v>1</v>
      </c>
      <c r="B237" s="276" t="s">
        <v>0</v>
      </c>
      <c r="C237" s="35"/>
      <c r="D237" s="196"/>
      <c r="E237" s="23" t="e">
        <f>SUM(#REF!)</f>
        <v>#REF!</v>
      </c>
    </row>
    <row r="238" spans="1:5" ht="12.75" hidden="1">
      <c r="A238" s="186">
        <v>2</v>
      </c>
      <c r="B238" s="277" t="s">
        <v>1</v>
      </c>
      <c r="C238" s="12"/>
      <c r="D238" s="203"/>
      <c r="E238" s="29" t="e">
        <f>SUM(#REF!)</f>
        <v>#REF!</v>
      </c>
    </row>
    <row r="239" spans="1:5" ht="12.75" hidden="1">
      <c r="A239" s="186">
        <v>3</v>
      </c>
      <c r="B239" s="277" t="s">
        <v>2</v>
      </c>
      <c r="C239" s="12"/>
      <c r="D239" s="203"/>
      <c r="E239" s="29" t="e">
        <f>SUM(#REF!)</f>
        <v>#REF!</v>
      </c>
    </row>
    <row r="240" spans="1:5" ht="12.75" hidden="1">
      <c r="A240" s="186">
        <v>4</v>
      </c>
      <c r="B240" s="277" t="s">
        <v>3</v>
      </c>
      <c r="C240" s="12"/>
      <c r="D240" s="203"/>
      <c r="E240" s="29" t="e">
        <f>SUM(#REF!)</f>
        <v>#REF!</v>
      </c>
    </row>
    <row r="241" spans="1:5" ht="12.75" hidden="1">
      <c r="A241" s="186">
        <v>5</v>
      </c>
      <c r="B241" s="277" t="s">
        <v>4</v>
      </c>
      <c r="C241" s="12"/>
      <c r="D241" s="203"/>
      <c r="E241" s="29" t="e">
        <f>SUM(#REF!)</f>
        <v>#REF!</v>
      </c>
    </row>
    <row r="242" spans="1:5" ht="12.75" hidden="1">
      <c r="A242" s="186">
        <v>6</v>
      </c>
      <c r="B242" s="277" t="s">
        <v>5</v>
      </c>
      <c r="C242" s="12"/>
      <c r="D242" s="203"/>
      <c r="E242" s="29" t="e">
        <f>SUM(#REF!)</f>
        <v>#REF!</v>
      </c>
    </row>
    <row r="243" spans="1:5" ht="12.75" hidden="1">
      <c r="A243" s="186">
        <v>7</v>
      </c>
      <c r="B243" s="277" t="s">
        <v>6</v>
      </c>
      <c r="C243" s="12"/>
      <c r="D243" s="203"/>
      <c r="E243" s="29" t="e">
        <f>SUM(#REF!)</f>
        <v>#REF!</v>
      </c>
    </row>
    <row r="244" spans="1:5" ht="12.75" hidden="1">
      <c r="A244" s="186">
        <v>8</v>
      </c>
      <c r="B244" s="277" t="s">
        <v>7</v>
      </c>
      <c r="C244" s="12"/>
      <c r="D244" s="203"/>
      <c r="E244" s="29" t="e">
        <f>SUM(#REF!)</f>
        <v>#REF!</v>
      </c>
    </row>
    <row r="245" spans="1:5" ht="12.75" hidden="1">
      <c r="A245" s="186">
        <v>9</v>
      </c>
      <c r="B245" s="277" t="s">
        <v>8</v>
      </c>
      <c r="C245" s="12"/>
      <c r="D245" s="203"/>
      <c r="E245" s="29" t="e">
        <f>SUM(#REF!)</f>
        <v>#REF!</v>
      </c>
    </row>
    <row r="246" spans="1:5" ht="12.75" hidden="1">
      <c r="A246" s="186">
        <v>10</v>
      </c>
      <c r="B246" s="277" t="s">
        <v>9</v>
      </c>
      <c r="C246" s="12"/>
      <c r="D246" s="203"/>
      <c r="E246" s="29" t="e">
        <f>SUM(#REF!)</f>
        <v>#REF!</v>
      </c>
    </row>
    <row r="247" spans="1:5" ht="12.75" hidden="1">
      <c r="A247" s="186">
        <v>11</v>
      </c>
      <c r="B247" s="277" t="s">
        <v>10</v>
      </c>
      <c r="C247" s="12"/>
      <c r="D247" s="203"/>
      <c r="E247" s="29" t="e">
        <f>SUM(#REF!)</f>
        <v>#REF!</v>
      </c>
    </row>
    <row r="248" spans="1:5" ht="12.75" hidden="1">
      <c r="A248" s="186">
        <v>12</v>
      </c>
      <c r="B248" s="277" t="s">
        <v>11</v>
      </c>
      <c r="C248" s="12"/>
      <c r="D248" s="203"/>
      <c r="E248" s="29" t="e">
        <f>SUM(#REF!)</f>
        <v>#REF!</v>
      </c>
    </row>
    <row r="249" spans="1:5" ht="12.75" hidden="1">
      <c r="A249" s="186">
        <v>13</v>
      </c>
      <c r="B249" s="277" t="s">
        <v>13</v>
      </c>
      <c r="C249" s="12"/>
      <c r="D249" s="203"/>
      <c r="E249" s="29" t="e">
        <f>SUM(#REF!)</f>
        <v>#REF!</v>
      </c>
    </row>
    <row r="250" spans="1:5" ht="12.75" hidden="1">
      <c r="A250" s="186">
        <v>14</v>
      </c>
      <c r="B250" s="277" t="s">
        <v>14</v>
      </c>
      <c r="C250" s="12"/>
      <c r="D250" s="203"/>
      <c r="E250" s="29" t="e">
        <f>SUM(#REF!)</f>
        <v>#REF!</v>
      </c>
    </row>
    <row r="251" spans="1:5" ht="12.75" hidden="1">
      <c r="A251" s="186">
        <v>15</v>
      </c>
      <c r="B251" s="277" t="s">
        <v>15</v>
      </c>
      <c r="C251" s="12"/>
      <c r="D251" s="203"/>
      <c r="E251" s="29" t="e">
        <f>SUM(#REF!)</f>
        <v>#REF!</v>
      </c>
    </row>
    <row r="252" spans="1:5" ht="12.75" hidden="1">
      <c r="A252" s="186">
        <v>16</v>
      </c>
      <c r="B252" s="277" t="s">
        <v>16</v>
      </c>
      <c r="C252" s="12"/>
      <c r="D252" s="203"/>
      <c r="E252" s="29" t="e">
        <f>SUM(#REF!)</f>
        <v>#REF!</v>
      </c>
    </row>
    <row r="253" spans="1:5" ht="12.75" hidden="1">
      <c r="A253" s="186">
        <v>17</v>
      </c>
      <c r="B253" s="277" t="s">
        <v>17</v>
      </c>
      <c r="C253" s="12"/>
      <c r="D253" s="203"/>
      <c r="E253" s="29" t="e">
        <f>SUM(#REF!)</f>
        <v>#REF!</v>
      </c>
    </row>
    <row r="254" spans="1:5" ht="12.75" hidden="1">
      <c r="A254" s="186">
        <v>18</v>
      </c>
      <c r="B254" s="277" t="s">
        <v>18</v>
      </c>
      <c r="C254" s="12"/>
      <c r="D254" s="203"/>
      <c r="E254" s="29" t="e">
        <f>SUM(#REF!)</f>
        <v>#REF!</v>
      </c>
    </row>
    <row r="255" spans="1:5" ht="12.75" hidden="1">
      <c r="A255" s="186">
        <v>19</v>
      </c>
      <c r="B255" s="277" t="s">
        <v>19</v>
      </c>
      <c r="C255" s="12"/>
      <c r="D255" s="203"/>
      <c r="E255" s="29" t="e">
        <f>SUM(#REF!)</f>
        <v>#REF!</v>
      </c>
    </row>
    <row r="256" spans="1:5" ht="12.75" hidden="1">
      <c r="A256" s="186">
        <v>20</v>
      </c>
      <c r="B256" s="277" t="s">
        <v>20</v>
      </c>
      <c r="C256" s="46"/>
      <c r="D256" s="204"/>
      <c r="E256" s="29" t="e">
        <f>SUM(#REF!)</f>
        <v>#REF!</v>
      </c>
    </row>
    <row r="257" spans="1:5" ht="12.75" hidden="1">
      <c r="A257" s="186">
        <v>21</v>
      </c>
      <c r="B257" s="277" t="s">
        <v>21</v>
      </c>
      <c r="C257" s="46"/>
      <c r="D257" s="214"/>
      <c r="E257" s="29" t="e">
        <f>SUM(#REF!)</f>
        <v>#REF!</v>
      </c>
    </row>
    <row r="258" spans="1:5" ht="12.75" hidden="1">
      <c r="A258" s="186">
        <v>22</v>
      </c>
      <c r="B258" s="277" t="s">
        <v>22</v>
      </c>
      <c r="C258" s="46"/>
      <c r="D258" s="214"/>
      <c r="E258" s="29" t="e">
        <f>SUM(#REF!)</f>
        <v>#REF!</v>
      </c>
    </row>
    <row r="259" spans="1:5" ht="12.75" hidden="1">
      <c r="A259" s="186">
        <v>23</v>
      </c>
      <c r="B259" s="277" t="s">
        <v>23</v>
      </c>
      <c r="C259" s="46"/>
      <c r="D259" s="214"/>
      <c r="E259" s="29" t="e">
        <f>SUM(#REF!)</f>
        <v>#REF!</v>
      </c>
    </row>
    <row r="260" spans="1:5" ht="12.75" hidden="1">
      <c r="A260" s="186">
        <v>24</v>
      </c>
      <c r="B260" s="277" t="s">
        <v>24</v>
      </c>
      <c r="C260" s="46"/>
      <c r="D260" s="214"/>
      <c r="E260" s="29" t="e">
        <f>SUM(#REF!)</f>
        <v>#REF!</v>
      </c>
    </row>
    <row r="261" spans="1:5" ht="12.75" hidden="1">
      <c r="A261" s="186">
        <v>25</v>
      </c>
      <c r="B261" s="277" t="s">
        <v>25</v>
      </c>
      <c r="C261" s="46"/>
      <c r="D261" s="214"/>
      <c r="E261" s="29" t="e">
        <f>SUM(#REF!)</f>
        <v>#REF!</v>
      </c>
    </row>
    <row r="262" spans="1:5" ht="12.75" hidden="1">
      <c r="A262" s="186">
        <v>26</v>
      </c>
      <c r="B262" s="277" t="s">
        <v>26</v>
      </c>
      <c r="C262" s="46"/>
      <c r="D262" s="214"/>
      <c r="E262" s="29" t="e">
        <f>SUM(#REF!)</f>
        <v>#REF!</v>
      </c>
    </row>
    <row r="263" spans="1:5" ht="12.75" hidden="1">
      <c r="A263" s="186">
        <v>27</v>
      </c>
      <c r="B263" s="277" t="s">
        <v>27</v>
      </c>
      <c r="C263" s="46"/>
      <c r="D263" s="214"/>
      <c r="E263" s="29" t="e">
        <f>SUM(#REF!)</f>
        <v>#REF!</v>
      </c>
    </row>
    <row r="264" spans="1:5" ht="12.75" hidden="1">
      <c r="A264" s="186">
        <v>28</v>
      </c>
      <c r="B264" s="277" t="s">
        <v>28</v>
      </c>
      <c r="C264" s="46"/>
      <c r="D264" s="214"/>
      <c r="E264" s="29" t="e">
        <f>SUM(#REF!)</f>
        <v>#REF!</v>
      </c>
    </row>
    <row r="265" spans="1:5" ht="12.75" hidden="1">
      <c r="A265" s="186">
        <v>29</v>
      </c>
      <c r="B265" s="277" t="s">
        <v>29</v>
      </c>
      <c r="C265" s="46"/>
      <c r="D265" s="214"/>
      <c r="E265" s="29" t="e">
        <f>SUM(#REF!)</f>
        <v>#REF!</v>
      </c>
    </row>
    <row r="266" spans="1:5" ht="12.75" hidden="1">
      <c r="A266" s="186">
        <v>30</v>
      </c>
      <c r="B266" s="277" t="s">
        <v>36</v>
      </c>
      <c r="C266" s="46"/>
      <c r="D266" s="214"/>
      <c r="E266" s="29" t="e">
        <f>SUM(#REF!)</f>
        <v>#REF!</v>
      </c>
    </row>
    <row r="267" spans="1:5" ht="13.5" hidden="1" thickBot="1">
      <c r="A267" s="186">
        <v>31</v>
      </c>
      <c r="B267" s="278" t="s">
        <v>46</v>
      </c>
      <c r="C267" s="60"/>
      <c r="D267" s="219"/>
      <c r="E267" s="29" t="e">
        <f>SUM(#REF!)</f>
        <v>#REF!</v>
      </c>
    </row>
    <row r="268" spans="2:5" ht="13.5" hidden="1" thickBot="1">
      <c r="B268" s="48" t="s">
        <v>12</v>
      </c>
      <c r="C268" s="89">
        <f>SUM(C256:C267)</f>
        <v>0</v>
      </c>
      <c r="D268" s="89">
        <f>SUM(D256:D267)</f>
        <v>0</v>
      </c>
      <c r="E268" s="97" t="e">
        <f>SUM(E237:E266)+E267</f>
        <v>#REF!</v>
      </c>
    </row>
    <row r="269" spans="2:5" ht="13.5" hidden="1" thickBot="1">
      <c r="B269" s="61"/>
      <c r="C269" s="94">
        <v>2110</v>
      </c>
      <c r="D269" s="94">
        <v>2111</v>
      </c>
      <c r="E269" s="97" t="e">
        <f>#REF!+#REF!+#REF!+#REF!+#REF!+#REF!+#REF!+#REF!+#REF!+#REF!+#REF!</f>
        <v>#REF!</v>
      </c>
    </row>
    <row r="270" spans="2:5" ht="15.75" hidden="1" thickBot="1">
      <c r="B270" s="51"/>
      <c r="C270" s="51"/>
      <c r="D270" s="51"/>
      <c r="E270" s="179" t="e">
        <f>SUM(#REF!)</f>
        <v>#REF!</v>
      </c>
    </row>
    <row r="271" spans="2:5" ht="15.75" hidden="1">
      <c r="B271" s="249" t="s">
        <v>12</v>
      </c>
      <c r="C271" s="65"/>
      <c r="D271" s="65"/>
      <c r="E271" s="294" t="e">
        <f>SUM(#REF!)</f>
        <v>#REF!</v>
      </c>
    </row>
    <row r="272" spans="2:5" ht="15.75" hidden="1">
      <c r="B272" s="52"/>
      <c r="C272" s="52"/>
      <c r="D272" s="52"/>
      <c r="E272" s="52"/>
    </row>
    <row r="273" spans="2:5" ht="15.75" hidden="1">
      <c r="B273" s="52"/>
      <c r="C273" s="52"/>
      <c r="D273" s="52"/>
      <c r="E273" s="52"/>
    </row>
    <row r="274" spans="2:5" ht="15.75" hidden="1">
      <c r="B274" s="52"/>
      <c r="C274" s="52"/>
      <c r="D274" s="52"/>
      <c r="E274" s="52"/>
    </row>
    <row r="275" spans="2:5" ht="15" hidden="1">
      <c r="B275" s="361" t="s">
        <v>45</v>
      </c>
      <c r="C275" s="361"/>
      <c r="D275" s="361"/>
      <c r="E275" s="361"/>
    </row>
    <row r="276" spans="2:5" ht="13.5" hidden="1" thickBot="1">
      <c r="B276" s="315" t="s">
        <v>31</v>
      </c>
      <c r="C276" s="162">
        <v>2110</v>
      </c>
      <c r="D276" s="162">
        <v>2111</v>
      </c>
      <c r="E276" s="173" t="s">
        <v>30</v>
      </c>
    </row>
    <row r="277" spans="1:5" ht="12.75" hidden="1">
      <c r="A277" s="186">
        <v>1</v>
      </c>
      <c r="B277" s="276" t="s">
        <v>0</v>
      </c>
      <c r="C277" s="35"/>
      <c r="D277" s="36"/>
      <c r="E277" s="23">
        <f aca="true" t="shared" si="1" ref="E277:E307">SUM(C277:D277)</f>
        <v>0</v>
      </c>
    </row>
    <row r="278" spans="1:5" ht="12.75" hidden="1">
      <c r="A278" s="186">
        <v>2</v>
      </c>
      <c r="B278" s="277" t="s">
        <v>1</v>
      </c>
      <c r="C278" s="12"/>
      <c r="D278" s="2"/>
      <c r="E278" s="29">
        <f t="shared" si="1"/>
        <v>0</v>
      </c>
    </row>
    <row r="279" spans="1:5" ht="12.75" hidden="1">
      <c r="A279" s="186">
        <v>3</v>
      </c>
      <c r="B279" s="277" t="s">
        <v>2</v>
      </c>
      <c r="C279" s="12"/>
      <c r="D279" s="2"/>
      <c r="E279" s="29">
        <f t="shared" si="1"/>
        <v>0</v>
      </c>
    </row>
    <row r="280" spans="1:5" ht="12.75" hidden="1">
      <c r="A280" s="186">
        <v>4</v>
      </c>
      <c r="B280" s="277" t="s">
        <v>3</v>
      </c>
      <c r="C280" s="12"/>
      <c r="D280" s="2"/>
      <c r="E280" s="29">
        <f t="shared" si="1"/>
        <v>0</v>
      </c>
    </row>
    <row r="281" spans="1:5" ht="12.75" hidden="1">
      <c r="A281" s="186">
        <v>5</v>
      </c>
      <c r="B281" s="277" t="s">
        <v>4</v>
      </c>
      <c r="C281" s="12"/>
      <c r="D281" s="2"/>
      <c r="E281" s="29">
        <f t="shared" si="1"/>
        <v>0</v>
      </c>
    </row>
    <row r="282" spans="1:5" ht="12.75" hidden="1">
      <c r="A282" s="186">
        <v>6</v>
      </c>
      <c r="B282" s="277" t="s">
        <v>5</v>
      </c>
      <c r="C282" s="12"/>
      <c r="D282" s="2"/>
      <c r="E282" s="29">
        <f t="shared" si="1"/>
        <v>0</v>
      </c>
    </row>
    <row r="283" spans="1:5" ht="12.75" hidden="1">
      <c r="A283" s="186">
        <v>7</v>
      </c>
      <c r="B283" s="277" t="s">
        <v>6</v>
      </c>
      <c r="C283" s="12"/>
      <c r="D283" s="2"/>
      <c r="E283" s="29">
        <f t="shared" si="1"/>
        <v>0</v>
      </c>
    </row>
    <row r="284" spans="1:5" ht="12.75" hidden="1">
      <c r="A284" s="186">
        <v>8</v>
      </c>
      <c r="B284" s="277" t="s">
        <v>7</v>
      </c>
      <c r="C284" s="12"/>
      <c r="D284" s="2"/>
      <c r="E284" s="29">
        <f t="shared" si="1"/>
        <v>0</v>
      </c>
    </row>
    <row r="285" spans="1:5" ht="12.75" hidden="1">
      <c r="A285" s="186">
        <v>9</v>
      </c>
      <c r="B285" s="277" t="s">
        <v>8</v>
      </c>
      <c r="C285" s="12"/>
      <c r="D285" s="2"/>
      <c r="E285" s="29">
        <f t="shared" si="1"/>
        <v>0</v>
      </c>
    </row>
    <row r="286" spans="1:5" ht="12.75" hidden="1">
      <c r="A286" s="186">
        <v>10</v>
      </c>
      <c r="B286" s="277" t="s">
        <v>9</v>
      </c>
      <c r="C286" s="12"/>
      <c r="D286" s="2"/>
      <c r="E286" s="29">
        <f t="shared" si="1"/>
        <v>0</v>
      </c>
    </row>
    <row r="287" spans="1:5" ht="12.75" hidden="1">
      <c r="A287" s="186">
        <v>11</v>
      </c>
      <c r="B287" s="277" t="s">
        <v>10</v>
      </c>
      <c r="C287" s="12"/>
      <c r="D287" s="2"/>
      <c r="E287" s="29">
        <f t="shared" si="1"/>
        <v>0</v>
      </c>
    </row>
    <row r="288" spans="1:5" ht="12.75" hidden="1">
      <c r="A288" s="186">
        <v>12</v>
      </c>
      <c r="B288" s="277" t="s">
        <v>11</v>
      </c>
      <c r="C288" s="12"/>
      <c r="D288" s="2"/>
      <c r="E288" s="29">
        <f t="shared" si="1"/>
        <v>0</v>
      </c>
    </row>
    <row r="289" spans="1:5" ht="12.75" hidden="1">
      <c r="A289" s="186">
        <v>13</v>
      </c>
      <c r="B289" s="277" t="s">
        <v>13</v>
      </c>
      <c r="C289" s="12"/>
      <c r="D289" s="2"/>
      <c r="E289" s="29">
        <f t="shared" si="1"/>
        <v>0</v>
      </c>
    </row>
    <row r="290" spans="1:5" ht="12.75" hidden="1">
      <c r="A290" s="186">
        <v>14</v>
      </c>
      <c r="B290" s="277" t="s">
        <v>14</v>
      </c>
      <c r="C290" s="12"/>
      <c r="D290" s="2"/>
      <c r="E290" s="29">
        <f t="shared" si="1"/>
        <v>0</v>
      </c>
    </row>
    <row r="291" spans="1:5" ht="12.75" hidden="1">
      <c r="A291" s="186">
        <v>15</v>
      </c>
      <c r="B291" s="277" t="s">
        <v>15</v>
      </c>
      <c r="C291" s="12"/>
      <c r="D291" s="2"/>
      <c r="E291" s="29">
        <f t="shared" si="1"/>
        <v>0</v>
      </c>
    </row>
    <row r="292" spans="1:5" ht="12.75" hidden="1">
      <c r="A292" s="186">
        <v>16</v>
      </c>
      <c r="B292" s="277" t="s">
        <v>16</v>
      </c>
      <c r="C292" s="12"/>
      <c r="D292" s="2"/>
      <c r="E292" s="29">
        <f t="shared" si="1"/>
        <v>0</v>
      </c>
    </row>
    <row r="293" spans="1:5" ht="12.75" hidden="1">
      <c r="A293" s="186">
        <v>17</v>
      </c>
      <c r="B293" s="277" t="s">
        <v>17</v>
      </c>
      <c r="C293" s="12"/>
      <c r="D293" s="2"/>
      <c r="E293" s="29">
        <f t="shared" si="1"/>
        <v>0</v>
      </c>
    </row>
    <row r="294" spans="1:5" ht="12.75" hidden="1">
      <c r="A294" s="186">
        <v>18</v>
      </c>
      <c r="B294" s="277" t="s">
        <v>18</v>
      </c>
      <c r="C294" s="12"/>
      <c r="D294" s="2"/>
      <c r="E294" s="29">
        <f t="shared" si="1"/>
        <v>0</v>
      </c>
    </row>
    <row r="295" spans="1:5" ht="12.75" hidden="1">
      <c r="A295" s="186">
        <v>19</v>
      </c>
      <c r="B295" s="277" t="s">
        <v>19</v>
      </c>
      <c r="C295" s="12"/>
      <c r="D295" s="2"/>
      <c r="E295" s="29">
        <f t="shared" si="1"/>
        <v>0</v>
      </c>
    </row>
    <row r="296" spans="1:5" ht="12.75" hidden="1">
      <c r="A296" s="186">
        <v>20</v>
      </c>
      <c r="B296" s="277" t="s">
        <v>20</v>
      </c>
      <c r="C296" s="46"/>
      <c r="D296" s="7"/>
      <c r="E296" s="29">
        <f t="shared" si="1"/>
        <v>0</v>
      </c>
    </row>
    <row r="297" spans="1:5" ht="12.75" hidden="1">
      <c r="A297" s="186">
        <v>21</v>
      </c>
      <c r="B297" s="277" t="s">
        <v>21</v>
      </c>
      <c r="C297" s="46"/>
      <c r="D297" s="6"/>
      <c r="E297" s="29">
        <f t="shared" si="1"/>
        <v>0</v>
      </c>
    </row>
    <row r="298" spans="1:5" ht="12.75" hidden="1">
      <c r="A298" s="186">
        <v>22</v>
      </c>
      <c r="B298" s="277" t="s">
        <v>22</v>
      </c>
      <c r="C298" s="46"/>
      <c r="D298" s="6"/>
      <c r="E298" s="29">
        <f t="shared" si="1"/>
        <v>0</v>
      </c>
    </row>
    <row r="299" spans="1:5" ht="12.75" hidden="1">
      <c r="A299" s="186">
        <v>23</v>
      </c>
      <c r="B299" s="277" t="s">
        <v>23</v>
      </c>
      <c r="C299" s="46"/>
      <c r="D299" s="6"/>
      <c r="E299" s="29">
        <f t="shared" si="1"/>
        <v>0</v>
      </c>
    </row>
    <row r="300" spans="1:5" ht="12.75" hidden="1">
      <c r="A300" s="186">
        <v>24</v>
      </c>
      <c r="B300" s="277" t="s">
        <v>24</v>
      </c>
      <c r="C300" s="46"/>
      <c r="D300" s="6"/>
      <c r="E300" s="29">
        <f t="shared" si="1"/>
        <v>0</v>
      </c>
    </row>
    <row r="301" spans="1:5" ht="12.75" hidden="1">
      <c r="A301" s="186">
        <v>25</v>
      </c>
      <c r="B301" s="277" t="s">
        <v>25</v>
      </c>
      <c r="C301" s="46"/>
      <c r="D301" s="6"/>
      <c r="E301" s="29">
        <f t="shared" si="1"/>
        <v>0</v>
      </c>
    </row>
    <row r="302" spans="1:5" ht="12.75" hidden="1">
      <c r="A302" s="186">
        <v>26</v>
      </c>
      <c r="B302" s="277" t="s">
        <v>26</v>
      </c>
      <c r="C302" s="46"/>
      <c r="D302" s="6"/>
      <c r="E302" s="29">
        <f t="shared" si="1"/>
        <v>0</v>
      </c>
    </row>
    <row r="303" spans="1:5" ht="12.75" hidden="1">
      <c r="A303" s="186">
        <v>27</v>
      </c>
      <c r="B303" s="277" t="s">
        <v>27</v>
      </c>
      <c r="C303" s="46"/>
      <c r="D303" s="6"/>
      <c r="E303" s="29">
        <f t="shared" si="1"/>
        <v>0</v>
      </c>
    </row>
    <row r="304" spans="1:5" ht="12.75" hidden="1">
      <c r="A304" s="186">
        <v>28</v>
      </c>
      <c r="B304" s="277" t="s">
        <v>28</v>
      </c>
      <c r="C304" s="46"/>
      <c r="D304" s="6"/>
      <c r="E304" s="29">
        <f t="shared" si="1"/>
        <v>0</v>
      </c>
    </row>
    <row r="305" spans="1:5" ht="12.75" hidden="1">
      <c r="A305" s="186">
        <v>29</v>
      </c>
      <c r="B305" s="277" t="s">
        <v>29</v>
      </c>
      <c r="C305" s="46"/>
      <c r="D305" s="6"/>
      <c r="E305" s="29">
        <f t="shared" si="1"/>
        <v>0</v>
      </c>
    </row>
    <row r="306" spans="1:5" ht="12.75" hidden="1">
      <c r="A306" s="186">
        <v>30</v>
      </c>
      <c r="B306" s="277" t="s">
        <v>36</v>
      </c>
      <c r="C306" s="46"/>
      <c r="D306" s="6"/>
      <c r="E306" s="29">
        <f t="shared" si="1"/>
        <v>0</v>
      </c>
    </row>
    <row r="307" spans="1:5" ht="13.5" hidden="1" thickBot="1">
      <c r="A307" s="186">
        <v>31</v>
      </c>
      <c r="B307" s="278" t="s">
        <v>32</v>
      </c>
      <c r="C307" s="60"/>
      <c r="D307" s="40"/>
      <c r="E307" s="29">
        <f t="shared" si="1"/>
        <v>0</v>
      </c>
    </row>
    <row r="308" spans="2:5" ht="13.5" hidden="1" thickBot="1">
      <c r="B308" s="48" t="s">
        <v>12</v>
      </c>
      <c r="C308" s="48">
        <f>SUM(C296:C307)</f>
        <v>0</v>
      </c>
      <c r="D308" s="48">
        <f>SUM(D296:D307)</f>
        <v>0</v>
      </c>
      <c r="E308" s="19">
        <f>SUM(E277:E306)+E307</f>
        <v>0</v>
      </c>
    </row>
    <row r="309" spans="2:5" ht="13.5" hidden="1" thickBot="1">
      <c r="B309" s="61"/>
      <c r="C309" s="162">
        <v>2110</v>
      </c>
      <c r="D309" s="162">
        <v>2111</v>
      </c>
      <c r="E309" s="19" t="e">
        <f>#REF!+#REF!+#REF!+#REF!+#REF!+#REF!+#REF!+#REF!+#REF!+#REF!+#REF!</f>
        <v>#REF!</v>
      </c>
    </row>
    <row r="310" spans="2:5" ht="15" hidden="1">
      <c r="B310" s="51"/>
      <c r="C310" s="51"/>
      <c r="D310" s="51"/>
      <c r="E310" s="141" t="e">
        <f>SUM(#REF!)</f>
        <v>#REF!</v>
      </c>
    </row>
    <row r="311" spans="2:5" ht="15.75" hidden="1">
      <c r="B311" s="249" t="s">
        <v>12</v>
      </c>
      <c r="C311" s="65"/>
      <c r="D311" s="65"/>
      <c r="E311" s="294" t="e">
        <f>SUM(#REF!)</f>
        <v>#REF!</v>
      </c>
    </row>
    <row r="312" spans="2:5" ht="15.75" hidden="1">
      <c r="B312" s="52"/>
      <c r="C312" s="52"/>
      <c r="D312" s="52"/>
      <c r="E312" s="52"/>
    </row>
    <row r="313" spans="2:5" ht="15.75" hidden="1">
      <c r="B313" s="52"/>
      <c r="C313" s="52"/>
      <c r="D313" s="52"/>
      <c r="E313" s="52"/>
    </row>
    <row r="314" spans="2:5" ht="15.75" hidden="1">
      <c r="B314" s="52"/>
      <c r="C314" s="52"/>
      <c r="D314" s="52"/>
      <c r="E314" s="52"/>
    </row>
    <row r="315" spans="2:5" ht="15" hidden="1">
      <c r="B315" s="361" t="s">
        <v>47</v>
      </c>
      <c r="C315" s="361"/>
      <c r="D315" s="361"/>
      <c r="E315" s="361"/>
    </row>
    <row r="316" spans="2:5" ht="13.5" hidden="1" thickBot="1">
      <c r="B316" s="18" t="s">
        <v>31</v>
      </c>
      <c r="C316" s="318">
        <v>2110</v>
      </c>
      <c r="D316" s="318">
        <v>2111</v>
      </c>
      <c r="E316" s="173" t="s">
        <v>30</v>
      </c>
    </row>
    <row r="317" spans="1:5" ht="12.75" hidden="1">
      <c r="A317" s="186">
        <v>1</v>
      </c>
      <c r="B317" s="276" t="s">
        <v>0</v>
      </c>
      <c r="C317" s="35"/>
      <c r="D317" s="196"/>
      <c r="E317" s="23" t="e">
        <f>SUM(#REF!)</f>
        <v>#REF!</v>
      </c>
    </row>
    <row r="318" spans="1:5" ht="12.75" hidden="1">
      <c r="A318" s="186">
        <v>2</v>
      </c>
      <c r="B318" s="277" t="s">
        <v>1</v>
      </c>
      <c r="C318" s="12"/>
      <c r="D318" s="203"/>
      <c r="E318" s="29" t="e">
        <f>SUM(#REF!)</f>
        <v>#REF!</v>
      </c>
    </row>
    <row r="319" spans="1:5" ht="12.75" hidden="1">
      <c r="A319" s="186">
        <v>3</v>
      </c>
      <c r="B319" s="277" t="s">
        <v>2</v>
      </c>
      <c r="C319" s="12"/>
      <c r="D319" s="203"/>
      <c r="E319" s="29" t="e">
        <f>SUM(#REF!)</f>
        <v>#REF!</v>
      </c>
    </row>
    <row r="320" spans="1:5" ht="12.75" hidden="1">
      <c r="A320" s="186">
        <v>4</v>
      </c>
      <c r="B320" s="277" t="s">
        <v>3</v>
      </c>
      <c r="C320" s="12"/>
      <c r="D320" s="203"/>
      <c r="E320" s="29" t="e">
        <f>SUM(#REF!)</f>
        <v>#REF!</v>
      </c>
    </row>
    <row r="321" spans="1:5" ht="12.75" hidden="1">
      <c r="A321" s="186">
        <v>5</v>
      </c>
      <c r="B321" s="277" t="s">
        <v>4</v>
      </c>
      <c r="C321" s="12"/>
      <c r="D321" s="203"/>
      <c r="E321" s="29" t="e">
        <f>SUM(#REF!)</f>
        <v>#REF!</v>
      </c>
    </row>
    <row r="322" spans="1:5" ht="12.75" hidden="1">
      <c r="A322" s="186">
        <v>6</v>
      </c>
      <c r="B322" s="277" t="s">
        <v>5</v>
      </c>
      <c r="C322" s="12"/>
      <c r="D322" s="203"/>
      <c r="E322" s="29" t="e">
        <f>SUM(#REF!)</f>
        <v>#REF!</v>
      </c>
    </row>
    <row r="323" spans="1:5" ht="12.75" hidden="1">
      <c r="A323" s="186">
        <v>7</v>
      </c>
      <c r="B323" s="277" t="s">
        <v>6</v>
      </c>
      <c r="C323" s="12"/>
      <c r="D323" s="203"/>
      <c r="E323" s="29" t="e">
        <f>SUM(#REF!)</f>
        <v>#REF!</v>
      </c>
    </row>
    <row r="324" spans="1:5" ht="12.75" hidden="1">
      <c r="A324" s="186">
        <v>8</v>
      </c>
      <c r="B324" s="277" t="s">
        <v>7</v>
      </c>
      <c r="C324" s="12"/>
      <c r="D324" s="203"/>
      <c r="E324" s="29" t="e">
        <f>SUM(#REF!)</f>
        <v>#REF!</v>
      </c>
    </row>
    <row r="325" spans="1:5" ht="12.75" hidden="1">
      <c r="A325" s="186">
        <v>9</v>
      </c>
      <c r="B325" s="277" t="s">
        <v>8</v>
      </c>
      <c r="C325" s="12"/>
      <c r="D325" s="203"/>
      <c r="E325" s="29" t="e">
        <f>SUM(#REF!)</f>
        <v>#REF!</v>
      </c>
    </row>
    <row r="326" spans="1:5" ht="12.75" hidden="1">
      <c r="A326" s="186">
        <v>10</v>
      </c>
      <c r="B326" s="277" t="s">
        <v>9</v>
      </c>
      <c r="C326" s="12"/>
      <c r="D326" s="203"/>
      <c r="E326" s="29" t="e">
        <f>SUM(#REF!)</f>
        <v>#REF!</v>
      </c>
    </row>
    <row r="327" spans="1:5" ht="12.75" hidden="1">
      <c r="A327" s="186">
        <v>11</v>
      </c>
      <c r="B327" s="277" t="s">
        <v>10</v>
      </c>
      <c r="C327" s="12"/>
      <c r="D327" s="203"/>
      <c r="E327" s="29" t="e">
        <f>SUM(#REF!)</f>
        <v>#REF!</v>
      </c>
    </row>
    <row r="328" spans="1:5" ht="12.75" hidden="1">
      <c r="A328" s="186">
        <v>12</v>
      </c>
      <c r="B328" s="277" t="s">
        <v>11</v>
      </c>
      <c r="C328" s="12"/>
      <c r="D328" s="203"/>
      <c r="E328" s="29" t="e">
        <f>SUM(#REF!)</f>
        <v>#REF!</v>
      </c>
    </row>
    <row r="329" spans="1:5" ht="12.75" hidden="1">
      <c r="A329" s="186">
        <v>13</v>
      </c>
      <c r="B329" s="277" t="s">
        <v>13</v>
      </c>
      <c r="C329" s="12"/>
      <c r="D329" s="203"/>
      <c r="E329" s="29" t="e">
        <f>SUM(#REF!)</f>
        <v>#REF!</v>
      </c>
    </row>
    <row r="330" spans="1:5" ht="12.75" hidden="1">
      <c r="A330" s="186">
        <v>14</v>
      </c>
      <c r="B330" s="277" t="s">
        <v>14</v>
      </c>
      <c r="C330" s="12"/>
      <c r="D330" s="203"/>
      <c r="E330" s="29" t="e">
        <f>SUM(#REF!)</f>
        <v>#REF!</v>
      </c>
    </row>
    <row r="331" spans="1:5" ht="12.75" hidden="1">
      <c r="A331" s="186">
        <v>15</v>
      </c>
      <c r="B331" s="277" t="s">
        <v>15</v>
      </c>
      <c r="C331" s="12"/>
      <c r="D331" s="203"/>
      <c r="E331" s="29" t="e">
        <f>SUM(#REF!)</f>
        <v>#REF!</v>
      </c>
    </row>
    <row r="332" spans="1:5" ht="12.75" hidden="1">
      <c r="A332" s="186">
        <v>16</v>
      </c>
      <c r="B332" s="277" t="s">
        <v>16</v>
      </c>
      <c r="C332" s="12"/>
      <c r="D332" s="203"/>
      <c r="E332" s="29" t="e">
        <f>SUM(#REF!)</f>
        <v>#REF!</v>
      </c>
    </row>
    <row r="333" spans="1:5" ht="12.75" hidden="1">
      <c r="A333" s="186">
        <v>17</v>
      </c>
      <c r="B333" s="277" t="s">
        <v>17</v>
      </c>
      <c r="C333" s="12"/>
      <c r="D333" s="203"/>
      <c r="E333" s="29" t="e">
        <f>SUM(#REF!)</f>
        <v>#REF!</v>
      </c>
    </row>
    <row r="334" spans="1:5" ht="12.75" hidden="1">
      <c r="A334" s="186">
        <v>18</v>
      </c>
      <c r="B334" s="277" t="s">
        <v>18</v>
      </c>
      <c r="C334" s="12"/>
      <c r="D334" s="203"/>
      <c r="E334" s="29" t="e">
        <f>SUM(#REF!)</f>
        <v>#REF!</v>
      </c>
    </row>
    <row r="335" spans="1:5" ht="12.75" hidden="1">
      <c r="A335" s="186">
        <v>19</v>
      </c>
      <c r="B335" s="277" t="s">
        <v>19</v>
      </c>
      <c r="C335" s="12"/>
      <c r="D335" s="203"/>
      <c r="E335" s="29" t="e">
        <f>SUM(#REF!)</f>
        <v>#REF!</v>
      </c>
    </row>
    <row r="336" spans="1:5" ht="12.75" hidden="1">
      <c r="A336" s="186">
        <v>20</v>
      </c>
      <c r="B336" s="277" t="s">
        <v>20</v>
      </c>
      <c r="C336" s="46"/>
      <c r="D336" s="204"/>
      <c r="E336" s="29" t="e">
        <f>SUM(#REF!)</f>
        <v>#REF!</v>
      </c>
    </row>
    <row r="337" spans="1:5" ht="12.75" hidden="1">
      <c r="A337" s="186">
        <v>21</v>
      </c>
      <c r="B337" s="277" t="s">
        <v>21</v>
      </c>
      <c r="C337" s="46"/>
      <c r="D337" s="214"/>
      <c r="E337" s="29" t="e">
        <f>SUM(#REF!)</f>
        <v>#REF!</v>
      </c>
    </row>
    <row r="338" spans="1:6" ht="12.75" hidden="1">
      <c r="A338" s="186">
        <v>22</v>
      </c>
      <c r="B338" s="277" t="s">
        <v>22</v>
      </c>
      <c r="C338" s="46"/>
      <c r="D338" s="214"/>
      <c r="E338" s="29" t="e">
        <f>SUM(#REF!)</f>
        <v>#REF!</v>
      </c>
      <c r="F338" s="299"/>
    </row>
    <row r="339" spans="1:5" ht="12.75" hidden="1">
      <c r="A339" s="186">
        <v>23</v>
      </c>
      <c r="B339" s="277" t="s">
        <v>23</v>
      </c>
      <c r="C339" s="46"/>
      <c r="D339" s="214"/>
      <c r="E339" s="29" t="e">
        <f>SUM(#REF!)</f>
        <v>#REF!</v>
      </c>
    </row>
    <row r="340" spans="1:5" ht="12.75" hidden="1">
      <c r="A340" s="186">
        <v>24</v>
      </c>
      <c r="B340" s="277" t="s">
        <v>24</v>
      </c>
      <c r="C340" s="46"/>
      <c r="D340" s="214"/>
      <c r="E340" s="29" t="e">
        <f>SUM(#REF!)</f>
        <v>#REF!</v>
      </c>
    </row>
    <row r="341" spans="1:5" ht="12.75" hidden="1">
      <c r="A341" s="186">
        <v>25</v>
      </c>
      <c r="B341" s="277" t="s">
        <v>25</v>
      </c>
      <c r="C341" s="46"/>
      <c r="D341" s="214"/>
      <c r="E341" s="29" t="e">
        <f>SUM(#REF!)</f>
        <v>#REF!</v>
      </c>
    </row>
    <row r="342" spans="1:5" ht="12.75" hidden="1">
      <c r="A342" s="186">
        <v>26</v>
      </c>
      <c r="B342" s="277" t="s">
        <v>26</v>
      </c>
      <c r="C342" s="46"/>
      <c r="D342" s="214"/>
      <c r="E342" s="29" t="e">
        <f>SUM(#REF!)</f>
        <v>#REF!</v>
      </c>
    </row>
    <row r="343" spans="1:5" ht="12.75" hidden="1">
      <c r="A343" s="186">
        <v>27</v>
      </c>
      <c r="B343" s="277" t="s">
        <v>27</v>
      </c>
      <c r="C343" s="46"/>
      <c r="D343" s="214"/>
      <c r="E343" s="29" t="e">
        <f>SUM(#REF!)</f>
        <v>#REF!</v>
      </c>
    </row>
    <row r="344" spans="1:5" ht="12.75" hidden="1">
      <c r="A344" s="186">
        <v>28</v>
      </c>
      <c r="B344" s="277" t="s">
        <v>28</v>
      </c>
      <c r="C344" s="46"/>
      <c r="D344" s="214"/>
      <c r="E344" s="29" t="e">
        <f>SUM(#REF!)</f>
        <v>#REF!</v>
      </c>
    </row>
    <row r="345" spans="1:5" ht="12.75" hidden="1">
      <c r="A345" s="186">
        <v>29</v>
      </c>
      <c r="B345" s="277" t="s">
        <v>29</v>
      </c>
      <c r="C345" s="46"/>
      <c r="D345" s="214"/>
      <c r="E345" s="29" t="e">
        <f>SUM(#REF!)</f>
        <v>#REF!</v>
      </c>
    </row>
    <row r="346" spans="1:5" ht="12.75" hidden="1">
      <c r="A346" s="186">
        <v>30</v>
      </c>
      <c r="B346" s="277" t="s">
        <v>36</v>
      </c>
      <c r="C346" s="46"/>
      <c r="D346" s="214"/>
      <c r="E346" s="29" t="e">
        <f>SUM(#REF!)</f>
        <v>#REF!</v>
      </c>
    </row>
    <row r="347" spans="1:5" ht="13.5" hidden="1" thickBot="1">
      <c r="A347" s="186">
        <v>31</v>
      </c>
      <c r="B347" s="278" t="s">
        <v>32</v>
      </c>
      <c r="C347" s="60"/>
      <c r="D347" s="219"/>
      <c r="E347" s="29" t="e">
        <f>SUM(#REF!)</f>
        <v>#REF!</v>
      </c>
    </row>
    <row r="348" spans="2:5" ht="13.5" hidden="1" thickBot="1">
      <c r="B348" s="48" t="s">
        <v>12</v>
      </c>
      <c r="C348" s="48">
        <f>SUM(C336:C347)</f>
        <v>0</v>
      </c>
      <c r="D348" s="48">
        <f>SUM(D336:D347)</f>
        <v>0</v>
      </c>
      <c r="E348" s="19" t="e">
        <f>SUM(E317:E346)+E347</f>
        <v>#REF!</v>
      </c>
    </row>
    <row r="349" spans="2:5" ht="13.5" hidden="1" thickBot="1">
      <c r="B349" s="61"/>
      <c r="C349" s="59">
        <v>2110</v>
      </c>
      <c r="D349" s="59">
        <v>2111</v>
      </c>
      <c r="E349" s="19" t="e">
        <f>#REF!+#REF!+#REF!+#REF!+#REF!+#REF!+#REF!+#REF!+#REF!+#REF!+#REF!+#REF!</f>
        <v>#REF!</v>
      </c>
    </row>
    <row r="350" spans="2:5" ht="15" hidden="1">
      <c r="B350" s="51"/>
      <c r="C350" s="51"/>
      <c r="D350" s="51"/>
      <c r="E350" s="141" t="e">
        <f>SUM(#REF!)</f>
        <v>#REF!</v>
      </c>
    </row>
    <row r="351" spans="2:5" ht="15.75" hidden="1">
      <c r="B351" s="249" t="s">
        <v>12</v>
      </c>
      <c r="C351" s="65"/>
      <c r="D351" s="65"/>
      <c r="E351" s="294" t="e">
        <f>SUM(#REF!)</f>
        <v>#REF!</v>
      </c>
    </row>
    <row r="352" spans="2:5" ht="15.75" hidden="1">
      <c r="B352" s="52"/>
      <c r="C352" s="52"/>
      <c r="D352" s="52"/>
      <c r="E352" s="52"/>
    </row>
    <row r="353" spans="2:5" ht="15.75" hidden="1">
      <c r="B353" s="52"/>
      <c r="C353" s="52"/>
      <c r="D353" s="52"/>
      <c r="E353" s="52"/>
    </row>
    <row r="354" spans="2:5" ht="15.75" hidden="1">
      <c r="B354" s="52"/>
      <c r="C354" s="52"/>
      <c r="D354" s="52"/>
      <c r="E354" s="52"/>
    </row>
    <row r="355" spans="2:5" ht="15.75" hidden="1">
      <c r="B355" s="52"/>
      <c r="C355" s="52"/>
      <c r="D355" s="52"/>
      <c r="E355" s="52"/>
    </row>
    <row r="356" spans="2:5" ht="15.75" hidden="1">
      <c r="B356" s="52"/>
      <c r="C356" s="52"/>
      <c r="D356" s="52"/>
      <c r="E356" s="52"/>
    </row>
    <row r="357" spans="2:5" ht="15.75" hidden="1">
      <c r="B357" s="52"/>
      <c r="C357" s="52"/>
      <c r="D357" s="52"/>
      <c r="E357" s="52"/>
    </row>
    <row r="358" spans="2:5" ht="15" hidden="1">
      <c r="B358" s="361" t="s">
        <v>48</v>
      </c>
      <c r="C358" s="361"/>
      <c r="D358" s="361"/>
      <c r="E358" s="361"/>
    </row>
    <row r="359" spans="2:5" ht="13.5" hidden="1" thickBot="1">
      <c r="B359" s="18" t="s">
        <v>31</v>
      </c>
      <c r="C359" s="158">
        <v>2110</v>
      </c>
      <c r="D359" s="158">
        <v>2111</v>
      </c>
      <c r="E359" s="173" t="s">
        <v>30</v>
      </c>
    </row>
    <row r="360" spans="1:5" ht="12.75" hidden="1">
      <c r="A360" s="186">
        <v>1</v>
      </c>
      <c r="B360" s="276" t="s">
        <v>0</v>
      </c>
      <c r="C360" s="152"/>
      <c r="D360" s="68"/>
      <c r="E360" s="23" t="e">
        <f>SUM(#REF!)</f>
        <v>#REF!</v>
      </c>
    </row>
    <row r="361" spans="1:5" ht="12.75" hidden="1">
      <c r="A361" s="186">
        <v>2</v>
      </c>
      <c r="B361" s="277" t="s">
        <v>1</v>
      </c>
      <c r="C361" s="153"/>
      <c r="D361" s="72"/>
      <c r="E361" s="29" t="e">
        <f>SUM(#REF!)</f>
        <v>#REF!</v>
      </c>
    </row>
    <row r="362" spans="1:5" ht="12.75" hidden="1">
      <c r="A362" s="186">
        <v>3</v>
      </c>
      <c r="B362" s="277" t="s">
        <v>2</v>
      </c>
      <c r="C362" s="153"/>
      <c r="D362" s="72"/>
      <c r="E362" s="29" t="e">
        <f>SUM(#REF!)</f>
        <v>#REF!</v>
      </c>
    </row>
    <row r="363" spans="1:5" ht="12.75" hidden="1">
      <c r="A363" s="186">
        <v>4</v>
      </c>
      <c r="B363" s="277" t="s">
        <v>3</v>
      </c>
      <c r="C363" s="153"/>
      <c r="D363" s="72"/>
      <c r="E363" s="29" t="e">
        <f>SUM(#REF!)</f>
        <v>#REF!</v>
      </c>
    </row>
    <row r="364" spans="1:5" ht="12.75" hidden="1">
      <c r="A364" s="186">
        <v>5</v>
      </c>
      <c r="B364" s="277" t="s">
        <v>4</v>
      </c>
      <c r="C364" s="153"/>
      <c r="D364" s="72"/>
      <c r="E364" s="29" t="e">
        <f>SUM(#REF!)</f>
        <v>#REF!</v>
      </c>
    </row>
    <row r="365" spans="1:5" ht="12.75" customHeight="1" hidden="1">
      <c r="A365" s="186">
        <v>6</v>
      </c>
      <c r="B365" s="277" t="s">
        <v>5</v>
      </c>
      <c r="C365" s="153"/>
      <c r="D365" s="72"/>
      <c r="E365" s="29" t="e">
        <f>SUM(#REF!)</f>
        <v>#REF!</v>
      </c>
    </row>
    <row r="366" spans="1:5" ht="12.75" hidden="1">
      <c r="A366" s="186">
        <v>7</v>
      </c>
      <c r="B366" s="277" t="s">
        <v>6</v>
      </c>
      <c r="C366" s="153"/>
      <c r="D366" s="72"/>
      <c r="E366" s="29" t="e">
        <f>SUM(#REF!)</f>
        <v>#REF!</v>
      </c>
    </row>
    <row r="367" spans="1:5" ht="12.75" hidden="1">
      <c r="A367" s="186">
        <v>8</v>
      </c>
      <c r="B367" s="277" t="s">
        <v>7</v>
      </c>
      <c r="C367" s="153"/>
      <c r="D367" s="72"/>
      <c r="E367" s="29" t="e">
        <f>SUM(#REF!)</f>
        <v>#REF!</v>
      </c>
    </row>
    <row r="368" spans="1:5" ht="12.75" hidden="1">
      <c r="A368" s="186">
        <v>9</v>
      </c>
      <c r="B368" s="277" t="s">
        <v>8</v>
      </c>
      <c r="C368" s="153"/>
      <c r="D368" s="72"/>
      <c r="E368" s="29" t="e">
        <f>SUM(#REF!)</f>
        <v>#REF!</v>
      </c>
    </row>
    <row r="369" spans="1:5" ht="12.75" hidden="1">
      <c r="A369" s="186">
        <v>10</v>
      </c>
      <c r="B369" s="277" t="s">
        <v>9</v>
      </c>
      <c r="C369" s="153"/>
      <c r="D369" s="72"/>
      <c r="E369" s="29" t="e">
        <f>SUM(#REF!)</f>
        <v>#REF!</v>
      </c>
    </row>
    <row r="370" spans="1:5" ht="12.75" hidden="1">
      <c r="A370" s="186">
        <v>11</v>
      </c>
      <c r="B370" s="277" t="s">
        <v>10</v>
      </c>
      <c r="C370" s="153"/>
      <c r="D370" s="72"/>
      <c r="E370" s="29" t="e">
        <f>SUM(#REF!)</f>
        <v>#REF!</v>
      </c>
    </row>
    <row r="371" spans="1:5" ht="12.75" hidden="1">
      <c r="A371" s="186">
        <v>12</v>
      </c>
      <c r="B371" s="277" t="s">
        <v>11</v>
      </c>
      <c r="C371" s="153"/>
      <c r="D371" s="72"/>
      <c r="E371" s="29" t="e">
        <f>SUM(#REF!)</f>
        <v>#REF!</v>
      </c>
    </row>
    <row r="372" spans="1:5" ht="12.75" hidden="1">
      <c r="A372" s="186">
        <v>13</v>
      </c>
      <c r="B372" s="277" t="s">
        <v>13</v>
      </c>
      <c r="C372" s="153"/>
      <c r="D372" s="72"/>
      <c r="E372" s="29" t="e">
        <f>SUM(#REF!)</f>
        <v>#REF!</v>
      </c>
    </row>
    <row r="373" spans="1:5" ht="12.75" hidden="1">
      <c r="A373" s="186">
        <v>14</v>
      </c>
      <c r="B373" s="277" t="s">
        <v>14</v>
      </c>
      <c r="C373" s="153"/>
      <c r="D373" s="72"/>
      <c r="E373" s="29" t="e">
        <f>SUM(#REF!)</f>
        <v>#REF!</v>
      </c>
    </row>
    <row r="374" spans="1:5" ht="12.75" hidden="1">
      <c r="A374" s="186">
        <v>15</v>
      </c>
      <c r="B374" s="277" t="s">
        <v>15</v>
      </c>
      <c r="C374" s="153"/>
      <c r="D374" s="72"/>
      <c r="E374" s="29" t="e">
        <f>SUM(#REF!)</f>
        <v>#REF!</v>
      </c>
    </row>
    <row r="375" spans="1:5" ht="12.75" hidden="1">
      <c r="A375" s="186">
        <v>16</v>
      </c>
      <c r="B375" s="277" t="s">
        <v>16</v>
      </c>
      <c r="C375" s="153"/>
      <c r="D375" s="72"/>
      <c r="E375" s="29" t="e">
        <f>SUM(#REF!)</f>
        <v>#REF!</v>
      </c>
    </row>
    <row r="376" spans="1:5" ht="12.75" hidden="1">
      <c r="A376" s="186">
        <v>17</v>
      </c>
      <c r="B376" s="277" t="s">
        <v>17</v>
      </c>
      <c r="C376" s="153"/>
      <c r="D376" s="72"/>
      <c r="E376" s="29" t="e">
        <f>SUM(#REF!)</f>
        <v>#REF!</v>
      </c>
    </row>
    <row r="377" spans="1:5" ht="12.75" hidden="1">
      <c r="A377" s="186">
        <v>18</v>
      </c>
      <c r="B377" s="277" t="s">
        <v>18</v>
      </c>
      <c r="C377" s="153"/>
      <c r="D377" s="72"/>
      <c r="E377" s="29" t="e">
        <f>SUM(#REF!)</f>
        <v>#REF!</v>
      </c>
    </row>
    <row r="378" spans="1:5" ht="12.75" hidden="1">
      <c r="A378" s="186">
        <v>19</v>
      </c>
      <c r="B378" s="277" t="s">
        <v>19</v>
      </c>
      <c r="C378" s="153"/>
      <c r="D378" s="72"/>
      <c r="E378" s="29" t="e">
        <f>SUM(#REF!)</f>
        <v>#REF!</v>
      </c>
    </row>
    <row r="379" spans="1:6" ht="12.75" hidden="1">
      <c r="A379" s="186">
        <v>20</v>
      </c>
      <c r="B379" s="277" t="s">
        <v>20</v>
      </c>
      <c r="C379" s="154"/>
      <c r="D379" s="69"/>
      <c r="E379" s="29" t="e">
        <f>SUM(#REF!)</f>
        <v>#REF!</v>
      </c>
      <c r="F379" s="299"/>
    </row>
    <row r="380" spans="1:5" ht="12.75" hidden="1">
      <c r="A380" s="186">
        <v>21</v>
      </c>
      <c r="B380" s="277" t="s">
        <v>21</v>
      </c>
      <c r="C380" s="154"/>
      <c r="D380" s="70"/>
      <c r="E380" s="29" t="e">
        <f>SUM(#REF!)</f>
        <v>#REF!</v>
      </c>
    </row>
    <row r="381" spans="1:5" ht="12.75" hidden="1">
      <c r="A381" s="186">
        <v>22</v>
      </c>
      <c r="B381" s="277" t="s">
        <v>22</v>
      </c>
      <c r="C381" s="154"/>
      <c r="D381" s="70"/>
      <c r="E381" s="29" t="e">
        <f>SUM(#REF!)</f>
        <v>#REF!</v>
      </c>
    </row>
    <row r="382" spans="1:5" ht="12.75" hidden="1">
      <c r="A382" s="186">
        <v>23</v>
      </c>
      <c r="B382" s="277" t="s">
        <v>23</v>
      </c>
      <c r="C382" s="154"/>
      <c r="D382" s="70"/>
      <c r="E382" s="29" t="e">
        <f>SUM(#REF!)</f>
        <v>#REF!</v>
      </c>
    </row>
    <row r="383" spans="1:5" ht="12.75" hidden="1">
      <c r="A383" s="186">
        <v>24</v>
      </c>
      <c r="B383" s="277" t="s">
        <v>24</v>
      </c>
      <c r="C383" s="154"/>
      <c r="D383" s="70"/>
      <c r="E383" s="29" t="e">
        <f>SUM(#REF!)</f>
        <v>#REF!</v>
      </c>
    </row>
    <row r="384" spans="1:5" ht="12.75" hidden="1">
      <c r="A384" s="186">
        <v>25</v>
      </c>
      <c r="B384" s="277" t="s">
        <v>25</v>
      </c>
      <c r="C384" s="154"/>
      <c r="D384" s="70"/>
      <c r="E384" s="29" t="e">
        <f>SUM(#REF!)</f>
        <v>#REF!</v>
      </c>
    </row>
    <row r="385" spans="1:5" ht="12.75" hidden="1">
      <c r="A385" s="186">
        <v>26</v>
      </c>
      <c r="B385" s="277" t="s">
        <v>26</v>
      </c>
      <c r="C385" s="154"/>
      <c r="D385" s="70"/>
      <c r="E385" s="29" t="e">
        <f>SUM(#REF!)</f>
        <v>#REF!</v>
      </c>
    </row>
    <row r="386" spans="1:5" ht="12.75" hidden="1">
      <c r="A386" s="186">
        <v>27</v>
      </c>
      <c r="B386" s="277" t="s">
        <v>27</v>
      </c>
      <c r="C386" s="154"/>
      <c r="D386" s="70"/>
      <c r="E386" s="29" t="e">
        <f>SUM(#REF!)</f>
        <v>#REF!</v>
      </c>
    </row>
    <row r="387" spans="1:5" ht="12.75" hidden="1">
      <c r="A387" s="186">
        <v>28</v>
      </c>
      <c r="B387" s="277" t="s">
        <v>28</v>
      </c>
      <c r="C387" s="154"/>
      <c r="D387" s="70"/>
      <c r="E387" s="29" t="e">
        <f>SUM(#REF!)</f>
        <v>#REF!</v>
      </c>
    </row>
    <row r="388" spans="1:5" ht="12.75" hidden="1">
      <c r="A388" s="186">
        <v>29</v>
      </c>
      <c r="B388" s="277" t="s">
        <v>29</v>
      </c>
      <c r="C388" s="154"/>
      <c r="D388" s="70"/>
      <c r="E388" s="29" t="e">
        <f>SUM(#REF!)</f>
        <v>#REF!</v>
      </c>
    </row>
    <row r="389" spans="1:5" ht="12.75" hidden="1">
      <c r="A389" s="186">
        <v>30</v>
      </c>
      <c r="B389" s="277" t="s">
        <v>36</v>
      </c>
      <c r="C389" s="154"/>
      <c r="D389" s="70"/>
      <c r="E389" s="29" t="e">
        <f>SUM(#REF!)</f>
        <v>#REF!</v>
      </c>
    </row>
    <row r="390" spans="1:5" ht="13.5" hidden="1" thickBot="1">
      <c r="A390" s="186">
        <v>31</v>
      </c>
      <c r="B390" s="278" t="s">
        <v>32</v>
      </c>
      <c r="C390" s="155"/>
      <c r="D390" s="82"/>
      <c r="E390" s="169" t="e">
        <f>SUM(#REF!)</f>
        <v>#REF!</v>
      </c>
    </row>
    <row r="391" spans="2:5" ht="13.5" hidden="1" thickBot="1">
      <c r="B391" s="48" t="s">
        <v>12</v>
      </c>
      <c r="C391" s="89">
        <f>SUM(C379:C390)</f>
        <v>0</v>
      </c>
      <c r="D391" s="89">
        <f>SUM(D379:D390)</f>
        <v>0</v>
      </c>
      <c r="E391" s="19" t="e">
        <f>SUM(E360:E389)+E390</f>
        <v>#REF!</v>
      </c>
    </row>
    <row r="392" spans="2:5" ht="13.5" hidden="1" thickBot="1">
      <c r="B392" s="61"/>
      <c r="C392" s="94">
        <v>2110</v>
      </c>
      <c r="D392" s="94">
        <v>2111</v>
      </c>
      <c r="E392" s="19" t="e">
        <f>#REF!+#REF!+#REF!+#REF!+#REF!+#REF!+#REF!+#REF!+#REF!+#REF!+#REF!</f>
        <v>#REF!</v>
      </c>
    </row>
    <row r="393" spans="2:5" ht="15" hidden="1">
      <c r="B393" s="51"/>
      <c r="C393" s="51"/>
      <c r="D393" s="51"/>
      <c r="E393" s="141" t="e">
        <f>SUM(#REF!)</f>
        <v>#REF!</v>
      </c>
    </row>
    <row r="394" spans="2:5" ht="15.75" hidden="1">
      <c r="B394" s="249" t="s">
        <v>12</v>
      </c>
      <c r="C394" s="65"/>
      <c r="D394" s="65"/>
      <c r="E394" s="294" t="e">
        <f>SUM(#REF!)</f>
        <v>#REF!</v>
      </c>
    </row>
    <row r="395" spans="2:5" ht="15.75" hidden="1">
      <c r="B395" s="52"/>
      <c r="C395" s="52"/>
      <c r="D395" s="52"/>
      <c r="E395" s="52"/>
    </row>
    <row r="396" spans="2:5" ht="15.75" hidden="1">
      <c r="B396" s="52"/>
      <c r="C396" s="52"/>
      <c r="D396" s="52"/>
      <c r="E396" s="52"/>
    </row>
    <row r="397" spans="2:5" ht="15.75" hidden="1">
      <c r="B397" s="52"/>
      <c r="C397" s="52"/>
      <c r="D397" s="52"/>
      <c r="E397" s="52"/>
    </row>
    <row r="398" spans="2:5" ht="15.75" hidden="1">
      <c r="B398" s="52"/>
      <c r="C398" s="52"/>
      <c r="D398" s="52"/>
      <c r="E398" s="52"/>
    </row>
    <row r="399" spans="2:5" ht="15.75" hidden="1">
      <c r="B399" s="52"/>
      <c r="C399" s="52"/>
      <c r="D399" s="52"/>
      <c r="E399" s="52"/>
    </row>
    <row r="400" spans="2:5" ht="15" hidden="1">
      <c r="B400" s="361" t="s">
        <v>49</v>
      </c>
      <c r="C400" s="361"/>
      <c r="D400" s="361"/>
      <c r="E400" s="361"/>
    </row>
    <row r="401" spans="2:5" ht="13.5" hidden="1" thickBot="1">
      <c r="B401" s="13" t="s">
        <v>31</v>
      </c>
      <c r="C401" s="10">
        <v>2110</v>
      </c>
      <c r="D401" s="10">
        <v>2111</v>
      </c>
      <c r="E401" s="173" t="s">
        <v>30</v>
      </c>
    </row>
    <row r="402" spans="2:5" ht="12.75" hidden="1">
      <c r="B402" s="276" t="s">
        <v>0</v>
      </c>
      <c r="C402" s="35"/>
      <c r="D402" s="36"/>
      <c r="E402" s="23" t="e">
        <f>SUM(#REF!)</f>
        <v>#REF!</v>
      </c>
    </row>
    <row r="403" spans="2:5" ht="12.75" hidden="1">
      <c r="B403" s="277" t="s">
        <v>1</v>
      </c>
      <c r="C403" s="12"/>
      <c r="D403" s="2"/>
      <c r="E403" s="29" t="e">
        <f>SUM(#REF!)</f>
        <v>#REF!</v>
      </c>
    </row>
    <row r="404" spans="2:5" ht="12.75" hidden="1">
      <c r="B404" s="277" t="s">
        <v>2</v>
      </c>
      <c r="C404" s="12"/>
      <c r="D404" s="2"/>
      <c r="E404" s="29" t="e">
        <f>SUM(#REF!)</f>
        <v>#REF!</v>
      </c>
    </row>
    <row r="405" spans="2:5" ht="12.75" hidden="1">
      <c r="B405" s="277" t="s">
        <v>3</v>
      </c>
      <c r="C405" s="12"/>
      <c r="D405" s="2"/>
      <c r="E405" s="29" t="e">
        <f>SUM(#REF!)</f>
        <v>#REF!</v>
      </c>
    </row>
    <row r="406" spans="2:5" ht="12.75" hidden="1">
      <c r="B406" s="277" t="s">
        <v>4</v>
      </c>
      <c r="C406" s="12"/>
      <c r="D406" s="2"/>
      <c r="E406" s="29" t="e">
        <f>SUM(#REF!)</f>
        <v>#REF!</v>
      </c>
    </row>
    <row r="407" spans="2:5" ht="12.75" hidden="1">
      <c r="B407" s="277" t="s">
        <v>5</v>
      </c>
      <c r="C407" s="12"/>
      <c r="D407" s="2"/>
      <c r="E407" s="29" t="e">
        <f>SUM(#REF!)</f>
        <v>#REF!</v>
      </c>
    </row>
    <row r="408" spans="2:5" ht="12.75" hidden="1">
      <c r="B408" s="277" t="s">
        <v>6</v>
      </c>
      <c r="C408" s="12"/>
      <c r="D408" s="2"/>
      <c r="E408" s="29" t="e">
        <f>SUM(#REF!)</f>
        <v>#REF!</v>
      </c>
    </row>
    <row r="409" spans="2:5" ht="12.75" hidden="1">
      <c r="B409" s="277" t="s">
        <v>7</v>
      </c>
      <c r="C409" s="12"/>
      <c r="D409" s="2"/>
      <c r="E409" s="29" t="e">
        <f>SUM(#REF!)</f>
        <v>#REF!</v>
      </c>
    </row>
    <row r="410" spans="2:5" ht="12.75" hidden="1">
      <c r="B410" s="277" t="s">
        <v>8</v>
      </c>
      <c r="C410" s="12"/>
      <c r="D410" s="2"/>
      <c r="E410" s="29" t="e">
        <f>SUM(#REF!)</f>
        <v>#REF!</v>
      </c>
    </row>
    <row r="411" spans="2:5" ht="12.75" hidden="1">
      <c r="B411" s="277" t="s">
        <v>9</v>
      </c>
      <c r="C411" s="12"/>
      <c r="D411" s="2"/>
      <c r="E411" s="29" t="e">
        <f>SUM(#REF!)</f>
        <v>#REF!</v>
      </c>
    </row>
    <row r="412" spans="2:5" ht="12.75" hidden="1">
      <c r="B412" s="277" t="s">
        <v>10</v>
      </c>
      <c r="C412" s="12"/>
      <c r="D412" s="2"/>
      <c r="E412" s="29" t="e">
        <f>SUM(#REF!)</f>
        <v>#REF!</v>
      </c>
    </row>
    <row r="413" spans="2:5" ht="12.75" hidden="1">
      <c r="B413" s="277" t="s">
        <v>11</v>
      </c>
      <c r="C413" s="12"/>
      <c r="D413" s="2"/>
      <c r="E413" s="29" t="e">
        <f>SUM(#REF!)</f>
        <v>#REF!</v>
      </c>
    </row>
    <row r="414" spans="2:5" ht="12.75" hidden="1">
      <c r="B414" s="277" t="s">
        <v>13</v>
      </c>
      <c r="C414" s="12"/>
      <c r="D414" s="2"/>
      <c r="E414" s="29" t="e">
        <f>SUM(#REF!)</f>
        <v>#REF!</v>
      </c>
    </row>
    <row r="415" spans="2:5" ht="12.75" hidden="1">
      <c r="B415" s="277" t="s">
        <v>14</v>
      </c>
      <c r="C415" s="12"/>
      <c r="D415" s="2"/>
      <c r="E415" s="29" t="e">
        <f>SUM(#REF!)</f>
        <v>#REF!</v>
      </c>
    </row>
    <row r="416" spans="2:5" ht="12.75" hidden="1">
      <c r="B416" s="277" t="s">
        <v>15</v>
      </c>
      <c r="C416" s="12"/>
      <c r="D416" s="2"/>
      <c r="E416" s="29" t="e">
        <f>SUM(#REF!)</f>
        <v>#REF!</v>
      </c>
    </row>
    <row r="417" spans="2:5" ht="12.75" hidden="1">
      <c r="B417" s="277" t="s">
        <v>16</v>
      </c>
      <c r="C417" s="12"/>
      <c r="D417" s="2"/>
      <c r="E417" s="29" t="e">
        <f>SUM(#REF!)</f>
        <v>#REF!</v>
      </c>
    </row>
    <row r="418" spans="2:5" ht="12.75" hidden="1">
      <c r="B418" s="277" t="s">
        <v>17</v>
      </c>
      <c r="C418" s="12"/>
      <c r="D418" s="2"/>
      <c r="E418" s="29" t="e">
        <f>SUM(#REF!)</f>
        <v>#REF!</v>
      </c>
    </row>
    <row r="419" spans="2:5" ht="12.75" hidden="1">
      <c r="B419" s="277" t="s">
        <v>18</v>
      </c>
      <c r="C419" s="12"/>
      <c r="D419" s="2"/>
      <c r="E419" s="29" t="e">
        <f>SUM(#REF!)</f>
        <v>#REF!</v>
      </c>
    </row>
    <row r="420" spans="2:5" ht="12.75" hidden="1">
      <c r="B420" s="277" t="s">
        <v>19</v>
      </c>
      <c r="C420" s="12"/>
      <c r="D420" s="2"/>
      <c r="E420" s="29" t="e">
        <f>SUM(#REF!)</f>
        <v>#REF!</v>
      </c>
    </row>
    <row r="421" spans="2:5" ht="12.75" hidden="1">
      <c r="B421" s="277" t="s">
        <v>20</v>
      </c>
      <c r="C421" s="46"/>
      <c r="D421" s="7"/>
      <c r="E421" s="29" t="e">
        <f>SUM(#REF!)</f>
        <v>#REF!</v>
      </c>
    </row>
    <row r="422" spans="2:6" ht="12.75" hidden="1">
      <c r="B422" s="277" t="s">
        <v>21</v>
      </c>
      <c r="C422" s="46"/>
      <c r="D422" s="6"/>
      <c r="E422" s="29" t="e">
        <f>SUM(#REF!)</f>
        <v>#REF!</v>
      </c>
      <c r="F422" s="299"/>
    </row>
    <row r="423" spans="2:5" ht="12.75" hidden="1">
      <c r="B423" s="277" t="s">
        <v>22</v>
      </c>
      <c r="C423" s="46"/>
      <c r="D423" s="6"/>
      <c r="E423" s="29" t="e">
        <f>SUM(#REF!)</f>
        <v>#REF!</v>
      </c>
    </row>
    <row r="424" spans="2:5" ht="12.75" hidden="1">
      <c r="B424" s="277" t="s">
        <v>23</v>
      </c>
      <c r="C424" s="46"/>
      <c r="D424" s="6"/>
      <c r="E424" s="29" t="e">
        <f>SUM(#REF!)</f>
        <v>#REF!</v>
      </c>
    </row>
    <row r="425" spans="2:5" ht="12.75" hidden="1">
      <c r="B425" s="277" t="s">
        <v>24</v>
      </c>
      <c r="C425" s="46"/>
      <c r="D425" s="6"/>
      <c r="E425" s="29" t="e">
        <f>SUM(#REF!)</f>
        <v>#REF!</v>
      </c>
    </row>
    <row r="426" spans="2:5" ht="12.75" hidden="1">
      <c r="B426" s="277" t="s">
        <v>25</v>
      </c>
      <c r="C426" s="46"/>
      <c r="D426" s="6"/>
      <c r="E426" s="29" t="e">
        <f>SUM(#REF!)</f>
        <v>#REF!</v>
      </c>
    </row>
    <row r="427" spans="2:5" ht="12.75" hidden="1">
      <c r="B427" s="277" t="s">
        <v>26</v>
      </c>
      <c r="C427" s="46"/>
      <c r="D427" s="6"/>
      <c r="E427" s="29" t="e">
        <f>SUM(#REF!)</f>
        <v>#REF!</v>
      </c>
    </row>
    <row r="428" spans="2:5" ht="12.75" hidden="1">
      <c r="B428" s="277" t="s">
        <v>27</v>
      </c>
      <c r="C428" s="46"/>
      <c r="D428" s="6"/>
      <c r="E428" s="29" t="e">
        <f>SUM(#REF!)</f>
        <v>#REF!</v>
      </c>
    </row>
    <row r="429" spans="2:5" ht="12.75" hidden="1">
      <c r="B429" s="277" t="s">
        <v>28</v>
      </c>
      <c r="C429" s="46"/>
      <c r="D429" s="6"/>
      <c r="E429" s="29" t="e">
        <f>SUM(#REF!)</f>
        <v>#REF!</v>
      </c>
    </row>
    <row r="430" spans="2:5" ht="12.75" hidden="1">
      <c r="B430" s="277" t="s">
        <v>29</v>
      </c>
      <c r="C430" s="46"/>
      <c r="D430" s="6"/>
      <c r="E430" s="29" t="e">
        <f>SUM(#REF!)</f>
        <v>#REF!</v>
      </c>
    </row>
    <row r="431" spans="2:5" ht="12.75" hidden="1">
      <c r="B431" s="277" t="s">
        <v>51</v>
      </c>
      <c r="C431" s="46"/>
      <c r="D431" s="6"/>
      <c r="E431" s="29" t="e">
        <f>SUM(#REF!)</f>
        <v>#REF!</v>
      </c>
    </row>
    <row r="432" spans="2:5" ht="13.5" hidden="1" thickBot="1">
      <c r="B432" s="278" t="s">
        <v>32</v>
      </c>
      <c r="C432" s="60"/>
      <c r="D432" s="40"/>
      <c r="E432" s="29" t="e">
        <f>SUM(#REF!)</f>
        <v>#REF!</v>
      </c>
    </row>
    <row r="433" spans="2:5" ht="13.5" hidden="1" thickBot="1">
      <c r="B433" s="24" t="s">
        <v>12</v>
      </c>
      <c r="C433" s="89">
        <f>SUM(C421:C432)</f>
        <v>0</v>
      </c>
      <c r="D433" s="89">
        <f>SUM(D421:D432)</f>
        <v>0</v>
      </c>
      <c r="E433" s="97" t="e">
        <f>SUM(E402:E431)+E432</f>
        <v>#REF!</v>
      </c>
    </row>
    <row r="434" spans="2:5" ht="13.5" hidden="1" thickBot="1">
      <c r="B434" s="61"/>
      <c r="C434" s="94">
        <v>2110</v>
      </c>
      <c r="D434" s="94">
        <v>2111</v>
      </c>
      <c r="E434" s="97" t="e">
        <f>#REF!+#REF!+#REF!+#REF!+#REF!+#REF!+#REF!+#REF!+#REF!+#REF!+#REF!</f>
        <v>#REF!</v>
      </c>
    </row>
    <row r="435" spans="2:5" ht="15" hidden="1">
      <c r="B435" s="51"/>
      <c r="C435" s="51"/>
      <c r="D435" s="51"/>
      <c r="E435" s="141" t="e">
        <f>SUM(#REF!)</f>
        <v>#REF!</v>
      </c>
    </row>
    <row r="436" spans="2:5" ht="15.75" hidden="1">
      <c r="B436" s="249" t="s">
        <v>12</v>
      </c>
      <c r="C436" s="65"/>
      <c r="D436" s="65"/>
      <c r="E436" s="294" t="e">
        <f>SUM(#REF!)</f>
        <v>#REF!</v>
      </c>
    </row>
    <row r="437" spans="2:5" ht="15.75" hidden="1">
      <c r="B437" s="52"/>
      <c r="C437" s="52"/>
      <c r="D437" s="52"/>
      <c r="E437" s="52"/>
    </row>
    <row r="438" spans="2:5" ht="15.75" hidden="1">
      <c r="B438" s="52"/>
      <c r="C438" s="52"/>
      <c r="D438" s="52"/>
      <c r="E438" s="52"/>
    </row>
    <row r="439" spans="2:5" ht="15.75" hidden="1">
      <c r="B439" s="52"/>
      <c r="C439" s="52"/>
      <c r="D439" s="52"/>
      <c r="E439" s="52"/>
    </row>
    <row r="440" spans="2:5" ht="15.75" hidden="1">
      <c r="B440" s="52"/>
      <c r="C440" s="52"/>
      <c r="D440" s="52"/>
      <c r="E440" s="52"/>
    </row>
    <row r="441" spans="2:5" ht="15" hidden="1">
      <c r="B441" s="361" t="s">
        <v>50</v>
      </c>
      <c r="C441" s="361"/>
      <c r="D441" s="361"/>
      <c r="E441" s="361"/>
    </row>
    <row r="442" spans="2:5" ht="13.5" hidden="1" thickBot="1">
      <c r="B442" s="18" t="s">
        <v>31</v>
      </c>
      <c r="C442" s="158">
        <v>2110</v>
      </c>
      <c r="D442" s="158">
        <v>2111</v>
      </c>
      <c r="E442" s="173" t="s">
        <v>30</v>
      </c>
    </row>
    <row r="443" spans="2:5" ht="12.75" hidden="1">
      <c r="B443" s="14" t="s">
        <v>0</v>
      </c>
      <c r="C443" s="35"/>
      <c r="D443" s="36"/>
      <c r="E443" s="23" t="e">
        <f>SUM(#REF!)</f>
        <v>#REF!</v>
      </c>
    </row>
    <row r="444" spans="2:5" ht="12.75" hidden="1">
      <c r="B444" s="15" t="s">
        <v>1</v>
      </c>
      <c r="C444" s="12"/>
      <c r="D444" s="2"/>
      <c r="E444" s="29" t="e">
        <f>SUM(#REF!)</f>
        <v>#REF!</v>
      </c>
    </row>
    <row r="445" spans="2:5" ht="12.75" hidden="1">
      <c r="B445" s="15" t="s">
        <v>2</v>
      </c>
      <c r="C445" s="12"/>
      <c r="D445" s="2"/>
      <c r="E445" s="29" t="e">
        <f>SUM(#REF!)</f>
        <v>#REF!</v>
      </c>
    </row>
    <row r="446" spans="2:5" ht="12.75" hidden="1">
      <c r="B446" s="15" t="s">
        <v>3</v>
      </c>
      <c r="C446" s="12"/>
      <c r="D446" s="2"/>
      <c r="E446" s="29" t="e">
        <f>SUM(#REF!)</f>
        <v>#REF!</v>
      </c>
    </row>
    <row r="447" spans="2:5" ht="12.75" hidden="1">
      <c r="B447" s="15" t="s">
        <v>4</v>
      </c>
      <c r="C447" s="12"/>
      <c r="D447" s="2"/>
      <c r="E447" s="29" t="e">
        <f>SUM(#REF!)</f>
        <v>#REF!</v>
      </c>
    </row>
    <row r="448" spans="2:5" ht="12.75" hidden="1">
      <c r="B448" s="15" t="s">
        <v>5</v>
      </c>
      <c r="C448" s="12"/>
      <c r="D448" s="2"/>
      <c r="E448" s="29" t="e">
        <f>SUM(#REF!)</f>
        <v>#REF!</v>
      </c>
    </row>
    <row r="449" spans="2:5" ht="12.75" hidden="1">
      <c r="B449" s="15" t="s">
        <v>6</v>
      </c>
      <c r="C449" s="12"/>
      <c r="D449" s="2"/>
      <c r="E449" s="29" t="e">
        <f>SUM(#REF!)</f>
        <v>#REF!</v>
      </c>
    </row>
    <row r="450" spans="2:5" ht="12.75" hidden="1">
      <c r="B450" s="15" t="s">
        <v>7</v>
      </c>
      <c r="C450" s="12"/>
      <c r="D450" s="2"/>
      <c r="E450" s="29" t="e">
        <f>SUM(#REF!)</f>
        <v>#REF!</v>
      </c>
    </row>
    <row r="451" spans="2:5" ht="12.75" hidden="1">
      <c r="B451" s="15" t="s">
        <v>8</v>
      </c>
      <c r="C451" s="12"/>
      <c r="D451" s="2"/>
      <c r="E451" s="29" t="e">
        <f>SUM(#REF!)</f>
        <v>#REF!</v>
      </c>
    </row>
    <row r="452" spans="2:5" ht="12.75" hidden="1">
      <c r="B452" s="15" t="s">
        <v>9</v>
      </c>
      <c r="C452" s="12"/>
      <c r="D452" s="2"/>
      <c r="E452" s="29" t="e">
        <f>SUM(#REF!)</f>
        <v>#REF!</v>
      </c>
    </row>
    <row r="453" spans="2:5" ht="12.75" hidden="1">
      <c r="B453" s="15" t="s">
        <v>10</v>
      </c>
      <c r="C453" s="12"/>
      <c r="D453" s="2"/>
      <c r="E453" s="29" t="e">
        <f>SUM(#REF!)</f>
        <v>#REF!</v>
      </c>
    </row>
    <row r="454" spans="2:5" ht="12.75" hidden="1">
      <c r="B454" s="15" t="s">
        <v>11</v>
      </c>
      <c r="C454" s="12"/>
      <c r="D454" s="2"/>
      <c r="E454" s="29" t="e">
        <f>SUM(#REF!)</f>
        <v>#REF!</v>
      </c>
    </row>
    <row r="455" spans="2:5" ht="12.75" hidden="1">
      <c r="B455" s="15" t="s">
        <v>13</v>
      </c>
      <c r="C455" s="12"/>
      <c r="D455" s="2"/>
      <c r="E455" s="29" t="e">
        <f>SUM(#REF!)</f>
        <v>#REF!</v>
      </c>
    </row>
    <row r="456" spans="2:5" ht="12.75" hidden="1">
      <c r="B456" s="15" t="s">
        <v>14</v>
      </c>
      <c r="C456" s="12"/>
      <c r="D456" s="2"/>
      <c r="E456" s="29" t="e">
        <f>SUM(#REF!)</f>
        <v>#REF!</v>
      </c>
    </row>
    <row r="457" spans="2:5" ht="12.75" hidden="1">
      <c r="B457" s="15" t="s">
        <v>15</v>
      </c>
      <c r="C457" s="12"/>
      <c r="D457" s="2"/>
      <c r="E457" s="29" t="e">
        <f>SUM(#REF!)</f>
        <v>#REF!</v>
      </c>
    </row>
    <row r="458" spans="2:5" ht="12.75" hidden="1">
      <c r="B458" s="15" t="s">
        <v>16</v>
      </c>
      <c r="C458" s="12"/>
      <c r="D458" s="2"/>
      <c r="E458" s="29" t="e">
        <f>SUM(#REF!)</f>
        <v>#REF!</v>
      </c>
    </row>
    <row r="459" spans="2:5" ht="12.75" hidden="1">
      <c r="B459" s="15" t="s">
        <v>17</v>
      </c>
      <c r="C459" s="12"/>
      <c r="D459" s="2"/>
      <c r="E459" s="29" t="e">
        <f>SUM(#REF!)</f>
        <v>#REF!</v>
      </c>
    </row>
    <row r="460" spans="2:5" ht="12.75" hidden="1">
      <c r="B460" s="15" t="s">
        <v>18</v>
      </c>
      <c r="C460" s="12"/>
      <c r="D460" s="2"/>
      <c r="E460" s="29" t="e">
        <f>SUM(#REF!)</f>
        <v>#REF!</v>
      </c>
    </row>
    <row r="461" spans="2:5" ht="12.75" hidden="1">
      <c r="B461" s="15" t="s">
        <v>19</v>
      </c>
      <c r="C461" s="12"/>
      <c r="D461" s="2"/>
      <c r="E461" s="29" t="e">
        <f>SUM(#REF!)</f>
        <v>#REF!</v>
      </c>
    </row>
    <row r="462" spans="2:5" ht="12.75" hidden="1">
      <c r="B462" s="15" t="s">
        <v>20</v>
      </c>
      <c r="C462" s="46"/>
      <c r="D462" s="7"/>
      <c r="E462" s="29" t="e">
        <f>SUM(#REF!)</f>
        <v>#REF!</v>
      </c>
    </row>
    <row r="463" spans="2:6" ht="12.75" hidden="1">
      <c r="B463" s="15" t="s">
        <v>21</v>
      </c>
      <c r="C463" s="46"/>
      <c r="D463" s="6"/>
      <c r="E463" s="29" t="e">
        <f>SUM(#REF!)</f>
        <v>#REF!</v>
      </c>
      <c r="F463" s="299"/>
    </row>
    <row r="464" spans="2:5" ht="12.75" hidden="1">
      <c r="B464" s="15" t="s">
        <v>22</v>
      </c>
      <c r="C464" s="46"/>
      <c r="D464" s="6"/>
      <c r="E464" s="29" t="e">
        <f>SUM(#REF!)</f>
        <v>#REF!</v>
      </c>
    </row>
    <row r="465" spans="2:5" ht="12.75" hidden="1">
      <c r="B465" s="15" t="s">
        <v>23</v>
      </c>
      <c r="C465" s="46"/>
      <c r="D465" s="6"/>
      <c r="E465" s="29" t="e">
        <f>SUM(#REF!)</f>
        <v>#REF!</v>
      </c>
    </row>
    <row r="466" spans="2:5" ht="12.75" hidden="1">
      <c r="B466" s="15" t="s">
        <v>24</v>
      </c>
      <c r="C466" s="46"/>
      <c r="D466" s="6"/>
      <c r="E466" s="29" t="e">
        <f>SUM(#REF!)</f>
        <v>#REF!</v>
      </c>
    </row>
    <row r="467" spans="2:5" ht="12.75" hidden="1">
      <c r="B467" s="15" t="s">
        <v>25</v>
      </c>
      <c r="C467" s="46"/>
      <c r="D467" s="6"/>
      <c r="E467" s="29" t="e">
        <f>SUM(#REF!)</f>
        <v>#REF!</v>
      </c>
    </row>
    <row r="468" spans="2:5" ht="12.75" hidden="1">
      <c r="B468" s="15" t="s">
        <v>26</v>
      </c>
      <c r="C468" s="46"/>
      <c r="D468" s="6"/>
      <c r="E468" s="29" t="e">
        <f>SUM(#REF!)</f>
        <v>#REF!</v>
      </c>
    </row>
    <row r="469" spans="2:5" ht="12.75" hidden="1">
      <c r="B469" s="15" t="s">
        <v>27</v>
      </c>
      <c r="C469" s="46"/>
      <c r="D469" s="6"/>
      <c r="E469" s="29" t="e">
        <f>SUM(#REF!)</f>
        <v>#REF!</v>
      </c>
    </row>
    <row r="470" spans="2:5" ht="12.75" hidden="1">
      <c r="B470" s="15" t="s">
        <v>28</v>
      </c>
      <c r="C470" s="46"/>
      <c r="D470" s="6"/>
      <c r="E470" s="29" t="e">
        <f>SUM(#REF!)</f>
        <v>#REF!</v>
      </c>
    </row>
    <row r="471" spans="2:5" ht="12.75" hidden="1">
      <c r="B471" s="16" t="s">
        <v>29</v>
      </c>
      <c r="C471" s="46"/>
      <c r="D471" s="6"/>
      <c r="E471" s="29" t="e">
        <f>SUM(#REF!)</f>
        <v>#REF!</v>
      </c>
    </row>
    <row r="472" spans="2:5" ht="12.75" hidden="1">
      <c r="B472" s="15" t="s">
        <v>36</v>
      </c>
      <c r="C472" s="46"/>
      <c r="D472" s="6"/>
      <c r="E472" s="29" t="e">
        <f>SUM(#REF!)</f>
        <v>#REF!</v>
      </c>
    </row>
    <row r="473" spans="2:5" ht="13.5" hidden="1" thickBot="1">
      <c r="B473" s="17" t="s">
        <v>32</v>
      </c>
      <c r="C473" s="49"/>
      <c r="D473" s="47"/>
      <c r="E473" s="29" t="e">
        <f>SUM(#REF!)</f>
        <v>#REF!</v>
      </c>
    </row>
    <row r="474" spans="2:5" ht="13.5" hidden="1" thickBot="1">
      <c r="B474" s="24" t="s">
        <v>12</v>
      </c>
      <c r="C474" s="9">
        <f>SUM(C462:C473)</f>
        <v>0</v>
      </c>
      <c r="D474" s="9">
        <f>SUM(D462:D473)</f>
        <v>0</v>
      </c>
      <c r="E474" s="19" t="e">
        <f>SUM(E443:E472)+E473</f>
        <v>#REF!</v>
      </c>
    </row>
    <row r="475" spans="2:5" ht="13.5" hidden="1" thickBot="1">
      <c r="B475" s="57"/>
      <c r="C475" s="158">
        <v>2110</v>
      </c>
      <c r="D475" s="158">
        <v>2111</v>
      </c>
      <c r="E475" s="19" t="e">
        <f>#REF!+#REF!+#REF!+#REF!+#REF!+#REF!+#REF!+#REF!+#REF!+#REF!+#REF!</f>
        <v>#REF!</v>
      </c>
    </row>
    <row r="476" spans="2:5" ht="15" hidden="1">
      <c r="B476" s="51"/>
      <c r="C476" s="51"/>
      <c r="D476" s="51"/>
      <c r="E476" s="141" t="e">
        <f>SUM(#REF!)</f>
        <v>#REF!</v>
      </c>
    </row>
    <row r="477" spans="2:5" ht="15.75" hidden="1">
      <c r="B477" s="249" t="s">
        <v>12</v>
      </c>
      <c r="C477" s="65"/>
      <c r="D477" s="65"/>
      <c r="E477" s="294" t="e">
        <f>SUM(#REF!)</f>
        <v>#REF!</v>
      </c>
    </row>
    <row r="478" spans="2:5" ht="15.75">
      <c r="B478" s="52"/>
      <c r="C478" s="52"/>
      <c r="D478" s="52"/>
      <c r="E478" s="52"/>
    </row>
    <row r="479" spans="2:5" ht="15.75">
      <c r="B479" s="52"/>
      <c r="C479" s="52"/>
      <c r="D479" s="52"/>
      <c r="E479" s="52"/>
    </row>
    <row r="480" spans="2:5" ht="16.5" thickBot="1">
      <c r="B480" s="360" t="s">
        <v>52</v>
      </c>
      <c r="C480" s="360"/>
      <c r="D480" s="360"/>
      <c r="E480" s="360"/>
    </row>
    <row r="481" spans="1:5" ht="13.5" thickBot="1">
      <c r="A481" s="251"/>
      <c r="B481" s="298" t="s">
        <v>31</v>
      </c>
      <c r="C481" s="159">
        <v>2111</v>
      </c>
      <c r="D481" s="329">
        <v>2120</v>
      </c>
      <c r="E481" s="326" t="s">
        <v>30</v>
      </c>
    </row>
    <row r="482" spans="1:5" s="333" customFormat="1" ht="12.75">
      <c r="A482" s="341">
        <v>1</v>
      </c>
      <c r="B482" s="342" t="s">
        <v>0</v>
      </c>
      <c r="C482" s="343">
        <f>1764079.92-10000</f>
        <v>1754079.92</v>
      </c>
      <c r="D482" s="344">
        <f>C482*0.21681</f>
        <v>380302.0674552</v>
      </c>
      <c r="E482" s="345">
        <f>C482+D482</f>
        <v>2134381.9874552</v>
      </c>
    </row>
    <row r="483" spans="1:5" ht="12.75">
      <c r="A483" s="256">
        <v>2</v>
      </c>
      <c r="B483" s="253" t="s">
        <v>1</v>
      </c>
      <c r="C483" s="150">
        <f>1881463.84-10000</f>
        <v>1871463.84</v>
      </c>
      <c r="D483" s="69">
        <f aca="true" t="shared" si="2" ref="D483:D510">C483*0.21681</f>
        <v>405752.07515040005</v>
      </c>
      <c r="E483" s="328">
        <f aca="true" t="shared" si="3" ref="E483:E510">C483+D483</f>
        <v>2277215.9151504003</v>
      </c>
    </row>
    <row r="484" spans="1:5" s="354" customFormat="1" ht="12.75">
      <c r="A484" s="349">
        <v>3</v>
      </c>
      <c r="B484" s="350" t="s">
        <v>2</v>
      </c>
      <c r="C484" s="351">
        <f>C6+C44</f>
        <v>0</v>
      </c>
      <c r="D484" s="352">
        <f t="shared" si="2"/>
        <v>0</v>
      </c>
      <c r="E484" s="353">
        <f t="shared" si="3"/>
        <v>0</v>
      </c>
    </row>
    <row r="485" spans="1:5" s="333" customFormat="1" ht="12.75">
      <c r="A485" s="346">
        <v>4</v>
      </c>
      <c r="B485" s="347" t="s">
        <v>3</v>
      </c>
      <c r="C485" s="348">
        <f>1762484.17-10000</f>
        <v>1752484.17</v>
      </c>
      <c r="D485" s="344">
        <f t="shared" si="2"/>
        <v>379956.0928977</v>
      </c>
      <c r="E485" s="345">
        <f t="shared" si="3"/>
        <v>2132440.2628977</v>
      </c>
    </row>
    <row r="486" spans="1:5" ht="12.75">
      <c r="A486" s="256">
        <v>5</v>
      </c>
      <c r="B486" s="253" t="s">
        <v>4</v>
      </c>
      <c r="C486" s="150">
        <f>1820341.68-10000</f>
        <v>1810341.68</v>
      </c>
      <c r="D486" s="69">
        <f t="shared" si="2"/>
        <v>392500.1796408</v>
      </c>
      <c r="E486" s="328">
        <f t="shared" si="3"/>
        <v>2202841.8596408</v>
      </c>
    </row>
    <row r="487" spans="1:5" ht="12.75">
      <c r="A487" s="256">
        <v>6</v>
      </c>
      <c r="B487" s="253" t="s">
        <v>5</v>
      </c>
      <c r="C487" s="150">
        <f>6081955.94-10000-127.54</f>
        <v>6071828.4</v>
      </c>
      <c r="D487" s="69">
        <f>C487*0.21681+26.32</f>
        <v>1316459.435404</v>
      </c>
      <c r="E487" s="328">
        <f t="shared" si="3"/>
        <v>7388287.835404</v>
      </c>
    </row>
    <row r="488" spans="1:5" s="354" customFormat="1" ht="12.75">
      <c r="A488" s="349">
        <v>7</v>
      </c>
      <c r="B488" s="350" t="s">
        <v>6</v>
      </c>
      <c r="C488" s="351">
        <f>2003520.73-10000</f>
        <v>1993520.73</v>
      </c>
      <c r="D488" s="352">
        <f t="shared" si="2"/>
        <v>432215.22947130003</v>
      </c>
      <c r="E488" s="353">
        <f t="shared" si="3"/>
        <v>2425735.9594713002</v>
      </c>
    </row>
    <row r="489" spans="1:5" s="332" customFormat="1" ht="12.75">
      <c r="A489" s="335">
        <v>8</v>
      </c>
      <c r="B489" s="336" t="s">
        <v>7</v>
      </c>
      <c r="C489" s="337">
        <f>1849787.58-10000</f>
        <v>1839787.58</v>
      </c>
      <c r="D489" s="338">
        <f t="shared" si="2"/>
        <v>398884.3452198</v>
      </c>
      <c r="E489" s="339">
        <f t="shared" si="3"/>
        <v>2238671.9252198003</v>
      </c>
    </row>
    <row r="490" spans="1:5" s="333" customFormat="1" ht="12.75">
      <c r="A490" s="346">
        <v>9</v>
      </c>
      <c r="B490" s="347" t="s">
        <v>8</v>
      </c>
      <c r="C490" s="348">
        <f>1926035.75-10000</f>
        <v>1916035.75</v>
      </c>
      <c r="D490" s="344">
        <f t="shared" si="2"/>
        <v>415415.7109575</v>
      </c>
      <c r="E490" s="345">
        <f t="shared" si="3"/>
        <v>2331451.4609575</v>
      </c>
    </row>
    <row r="491" spans="1:5" ht="12.75">
      <c r="A491" s="256">
        <v>10</v>
      </c>
      <c r="B491" s="253" t="s">
        <v>9</v>
      </c>
      <c r="C491" s="150">
        <f>2247007.23-10000</f>
        <v>2237007.23</v>
      </c>
      <c r="D491" s="69">
        <f t="shared" si="2"/>
        <v>485005.5375363</v>
      </c>
      <c r="E491" s="328">
        <f t="shared" si="3"/>
        <v>2722012.7675363002</v>
      </c>
    </row>
    <row r="492" spans="1:5" s="354" customFormat="1" ht="13.5" customHeight="1">
      <c r="A492" s="349">
        <v>11</v>
      </c>
      <c r="B492" s="350" t="s">
        <v>10</v>
      </c>
      <c r="C492" s="351">
        <f>1879181.63-10000</f>
        <v>1869181.63</v>
      </c>
      <c r="D492" s="352">
        <f t="shared" si="2"/>
        <v>405257.2692003</v>
      </c>
      <c r="E492" s="353">
        <f t="shared" si="3"/>
        <v>2274438.8992002998</v>
      </c>
    </row>
    <row r="493" spans="1:5" s="354" customFormat="1" ht="12.75">
      <c r="A493" s="349">
        <v>12</v>
      </c>
      <c r="B493" s="350" t="s">
        <v>11</v>
      </c>
      <c r="C493" s="351">
        <f>C15+C53</f>
        <v>0</v>
      </c>
      <c r="D493" s="352">
        <f t="shared" si="2"/>
        <v>0</v>
      </c>
      <c r="E493" s="353">
        <f t="shared" si="3"/>
        <v>0</v>
      </c>
    </row>
    <row r="494" spans="1:5" s="333" customFormat="1" ht="12.75">
      <c r="A494" s="346">
        <v>13</v>
      </c>
      <c r="B494" s="347" t="s">
        <v>13</v>
      </c>
      <c r="C494" s="348">
        <f>984838.75-9600</f>
        <v>975238.75</v>
      </c>
      <c r="D494" s="344">
        <f t="shared" si="2"/>
        <v>211441.5133875</v>
      </c>
      <c r="E494" s="345">
        <f t="shared" si="3"/>
        <v>1186680.2633875</v>
      </c>
    </row>
    <row r="495" spans="1:5" s="332" customFormat="1" ht="12.75">
      <c r="A495" s="335">
        <v>14</v>
      </c>
      <c r="B495" s="336" t="s">
        <v>14</v>
      </c>
      <c r="C495" s="337">
        <f>1440463.65-9600</f>
        <v>1430863.65</v>
      </c>
      <c r="D495" s="338">
        <f t="shared" si="2"/>
        <v>310225.54795649997</v>
      </c>
      <c r="E495" s="339">
        <f t="shared" si="3"/>
        <v>1741089.1979564999</v>
      </c>
    </row>
    <row r="496" spans="1:5" ht="12.75">
      <c r="A496" s="256">
        <v>15</v>
      </c>
      <c r="B496" s="253" t="s">
        <v>15</v>
      </c>
      <c r="C496" s="150">
        <f>1243045.6-9600</f>
        <v>1233445.6</v>
      </c>
      <c r="D496" s="69">
        <f t="shared" si="2"/>
        <v>267423.34053600003</v>
      </c>
      <c r="E496" s="328">
        <f t="shared" si="3"/>
        <v>1500868.940536</v>
      </c>
    </row>
    <row r="497" spans="1:5" s="354" customFormat="1" ht="12.75">
      <c r="A497" s="349">
        <v>16</v>
      </c>
      <c r="B497" s="350" t="s">
        <v>16</v>
      </c>
      <c r="C497" s="351">
        <f>C19+C57</f>
        <v>0</v>
      </c>
      <c r="D497" s="352">
        <f t="shared" si="2"/>
        <v>0</v>
      </c>
      <c r="E497" s="353">
        <f t="shared" si="3"/>
        <v>0</v>
      </c>
    </row>
    <row r="498" spans="1:5" s="354" customFormat="1" ht="12.75">
      <c r="A498" s="349">
        <v>17</v>
      </c>
      <c r="B498" s="350" t="s">
        <v>17</v>
      </c>
      <c r="C498" s="351">
        <f>1300508.04-9600</f>
        <v>1290908.04</v>
      </c>
      <c r="D498" s="352">
        <f t="shared" si="2"/>
        <v>279881.7721524</v>
      </c>
      <c r="E498" s="353">
        <f t="shared" si="3"/>
        <v>1570789.8121524001</v>
      </c>
    </row>
    <row r="499" spans="1:5" ht="12.75">
      <c r="A499" s="256">
        <v>18</v>
      </c>
      <c r="B499" s="253" t="s">
        <v>18</v>
      </c>
      <c r="C499" s="150">
        <f>1577835.87-9600</f>
        <v>1568235.87</v>
      </c>
      <c r="D499" s="69">
        <f t="shared" si="2"/>
        <v>340009.2189747</v>
      </c>
      <c r="E499" s="328">
        <f t="shared" si="3"/>
        <v>1908245.0889747</v>
      </c>
    </row>
    <row r="500" spans="1:5" s="333" customFormat="1" ht="12.75">
      <c r="A500" s="346">
        <v>19</v>
      </c>
      <c r="B500" s="347" t="s">
        <v>19</v>
      </c>
      <c r="C500" s="348">
        <f>1049160.54-9600</f>
        <v>1039560.54</v>
      </c>
      <c r="D500" s="344">
        <f t="shared" si="2"/>
        <v>225387.1206774</v>
      </c>
      <c r="E500" s="345">
        <f t="shared" si="3"/>
        <v>1264947.6606774</v>
      </c>
    </row>
    <row r="501" spans="1:5" s="333" customFormat="1" ht="12.75">
      <c r="A501" s="346">
        <v>20</v>
      </c>
      <c r="B501" s="347" t="s">
        <v>20</v>
      </c>
      <c r="C501" s="348">
        <f>808740.63-9600</f>
        <v>799140.63</v>
      </c>
      <c r="D501" s="344">
        <f t="shared" si="2"/>
        <v>173261.6799903</v>
      </c>
      <c r="E501" s="345">
        <f t="shared" si="3"/>
        <v>972402.3099903</v>
      </c>
    </row>
    <row r="502" spans="1:6" s="332" customFormat="1" ht="12.75">
      <c r="A502" s="335">
        <v>21</v>
      </c>
      <c r="B502" s="336" t="s">
        <v>21</v>
      </c>
      <c r="C502" s="337">
        <f>1095772.8-9600</f>
        <v>1086172.8</v>
      </c>
      <c r="D502" s="338">
        <f t="shared" si="2"/>
        <v>235493.124768</v>
      </c>
      <c r="E502" s="339">
        <f t="shared" si="3"/>
        <v>1321665.9247680001</v>
      </c>
      <c r="F502" s="340"/>
    </row>
    <row r="503" spans="1:5" s="354" customFormat="1" ht="12.75">
      <c r="A503" s="349">
        <v>22</v>
      </c>
      <c r="B503" s="350" t="s">
        <v>22</v>
      </c>
      <c r="C503" s="351">
        <f>C25+C63</f>
        <v>0</v>
      </c>
      <c r="D503" s="352">
        <f t="shared" si="2"/>
        <v>0</v>
      </c>
      <c r="E503" s="353">
        <f t="shared" si="3"/>
        <v>0</v>
      </c>
    </row>
    <row r="504" spans="1:5" ht="12.75">
      <c r="A504" s="256">
        <v>23</v>
      </c>
      <c r="B504" s="253" t="s">
        <v>23</v>
      </c>
      <c r="C504" s="150">
        <f>1224031.48-9600</f>
        <v>1214431.48</v>
      </c>
      <c r="D504" s="69">
        <f t="shared" si="2"/>
        <v>263300.8891788</v>
      </c>
      <c r="E504" s="328">
        <f t="shared" si="3"/>
        <v>1477732.3691788</v>
      </c>
    </row>
    <row r="505" spans="1:5" s="354" customFormat="1" ht="12.75">
      <c r="A505" s="349">
        <v>24</v>
      </c>
      <c r="B505" s="350" t="s">
        <v>24</v>
      </c>
      <c r="C505" s="351">
        <f>C27+C65</f>
        <v>0</v>
      </c>
      <c r="D505" s="352">
        <f t="shared" si="2"/>
        <v>0</v>
      </c>
      <c r="E505" s="353">
        <f t="shared" si="3"/>
        <v>0</v>
      </c>
    </row>
    <row r="506" spans="1:5" ht="12.75">
      <c r="A506" s="256">
        <v>25</v>
      </c>
      <c r="B506" s="253" t="s">
        <v>25</v>
      </c>
      <c r="C506" s="150">
        <f>323651.25</f>
        <v>323651.25</v>
      </c>
      <c r="D506" s="69">
        <f t="shared" si="2"/>
        <v>70170.82751250001</v>
      </c>
      <c r="E506" s="328">
        <f t="shared" si="3"/>
        <v>393822.0775125</v>
      </c>
    </row>
    <row r="507" spans="1:5" ht="12.75">
      <c r="A507" s="256">
        <v>26</v>
      </c>
      <c r="B507" s="253" t="s">
        <v>26</v>
      </c>
      <c r="C507" s="150">
        <f>318719.29</f>
        <v>318719.29</v>
      </c>
      <c r="D507" s="69">
        <f t="shared" si="2"/>
        <v>69101.52926489999</v>
      </c>
      <c r="E507" s="328">
        <f t="shared" si="3"/>
        <v>387820.81926489994</v>
      </c>
    </row>
    <row r="508" spans="1:5" ht="12.75">
      <c r="A508" s="256">
        <v>27</v>
      </c>
      <c r="B508" s="253" t="s">
        <v>27</v>
      </c>
      <c r="C508" s="150">
        <v>167135.74</v>
      </c>
      <c r="D508" s="69">
        <f t="shared" si="2"/>
        <v>36236.6997894</v>
      </c>
      <c r="E508" s="328">
        <f t="shared" si="3"/>
        <v>203372.4397894</v>
      </c>
    </row>
    <row r="509" spans="1:5" ht="12.75">
      <c r="A509" s="256">
        <v>28</v>
      </c>
      <c r="B509" s="253" t="s">
        <v>28</v>
      </c>
      <c r="C509" s="150">
        <f>371971.21</f>
        <v>371971.21</v>
      </c>
      <c r="D509" s="69">
        <f t="shared" si="2"/>
        <v>80647.07804010001</v>
      </c>
      <c r="E509" s="328">
        <f t="shared" si="3"/>
        <v>452618.2880401</v>
      </c>
    </row>
    <row r="510" spans="1:5" ht="12.75">
      <c r="A510" s="256">
        <v>29</v>
      </c>
      <c r="B510" s="253" t="s">
        <v>29</v>
      </c>
      <c r="C510" s="150">
        <f>257934.22</f>
        <v>257934.22</v>
      </c>
      <c r="D510" s="69">
        <f t="shared" si="2"/>
        <v>55922.7182382</v>
      </c>
      <c r="E510" s="328">
        <f t="shared" si="3"/>
        <v>313856.93823820003</v>
      </c>
    </row>
    <row r="511" spans="1:5" ht="12.75">
      <c r="A511" s="256"/>
      <c r="B511" s="287"/>
      <c r="C511" s="150"/>
      <c r="D511" s="69"/>
      <c r="E511" s="328"/>
    </row>
    <row r="512" spans="1:5" ht="13.5" thickBot="1">
      <c r="A512" s="256"/>
      <c r="B512" s="288"/>
      <c r="C512" s="172"/>
      <c r="D512" s="69"/>
      <c r="E512" s="328"/>
    </row>
    <row r="513" spans="1:6" ht="13.5" thickBot="1">
      <c r="A513" s="259"/>
      <c r="B513" s="289" t="s">
        <v>12</v>
      </c>
      <c r="C513" s="151">
        <f>SUM(C482:C512)</f>
        <v>35193140</v>
      </c>
      <c r="D513" s="151">
        <f>SUM(D482:D512)</f>
        <v>7630251.003400002</v>
      </c>
      <c r="E513" s="327">
        <f>SUM(E482:E512)</f>
        <v>42823391.00340001</v>
      </c>
      <c r="F513" s="299"/>
    </row>
    <row r="514" spans="1:5" ht="13.5" thickBot="1">
      <c r="A514" s="260"/>
      <c r="B514" s="258"/>
      <c r="C514" s="159"/>
      <c r="D514" s="159"/>
      <c r="E514" s="136"/>
    </row>
    <row r="515" spans="2:5" ht="15">
      <c r="B515" s="51"/>
      <c r="C515" s="191"/>
      <c r="D515" s="191"/>
      <c r="E515" s="160"/>
    </row>
    <row r="516" spans="2:5" ht="15">
      <c r="B516" s="249"/>
      <c r="C516" s="58"/>
      <c r="D516" s="334"/>
      <c r="E516" s="191"/>
    </row>
    <row r="517" spans="1:5" ht="15">
      <c r="A517" s="363" t="s">
        <v>54</v>
      </c>
      <c r="B517" s="364"/>
      <c r="C517" s="355">
        <f>C483+C486+C487+C491+C496+C499+C504+C506+C507+C508+C509+C510</f>
        <v>17446165.81</v>
      </c>
      <c r="D517" s="355">
        <f>D483+D486+D487+D491+D496+D499+D504+D506+D507+D508+D509+D510</f>
        <v>3782529.5292661004</v>
      </c>
      <c r="E517" s="355">
        <f>E483+E486+E487+E491+E496+E499+E504+E506+E507+E508+E509+E510</f>
        <v>21228695.339266103</v>
      </c>
    </row>
    <row r="518" spans="1:5" ht="15">
      <c r="A518" s="365" t="s">
        <v>55</v>
      </c>
      <c r="B518" s="366"/>
      <c r="C518" s="356">
        <f>C489+C495+C502</f>
        <v>4356824.03</v>
      </c>
      <c r="D518" s="356">
        <f>D489+D495+D502</f>
        <v>944603.0179443</v>
      </c>
      <c r="E518" s="356">
        <f>E489+E495+E502</f>
        <v>5301427.0479443</v>
      </c>
    </row>
    <row r="519" spans="1:5" ht="15">
      <c r="A519" s="367" t="s">
        <v>56</v>
      </c>
      <c r="B519" s="368"/>
      <c r="C519" s="357">
        <f>C482+C485+C490+C494+C500+C501</f>
        <v>8236539.76</v>
      </c>
      <c r="D519" s="357">
        <f>D482+D485+D490+D494+D500+D501</f>
        <v>1785764.1853655998</v>
      </c>
      <c r="E519" s="357">
        <f>E482+E485+E490+E494+E500+E501</f>
        <v>10022303.9453656</v>
      </c>
    </row>
    <row r="520" spans="1:5" ht="30" customHeight="1">
      <c r="A520" s="369" t="s">
        <v>57</v>
      </c>
      <c r="B520" s="370"/>
      <c r="C520" s="358">
        <f>C484+C492+C493+C497+C498+C503+C505+C488</f>
        <v>5153610.4</v>
      </c>
      <c r="D520" s="358">
        <f>D484+D492+D493+D497+D498+D503+D505+D488</f>
        <v>1117354.270824</v>
      </c>
      <c r="E520" s="358">
        <f>E484+E492+E493+E497+E498+E503+E505+E488</f>
        <v>6270964.670824001</v>
      </c>
    </row>
    <row r="521" spans="1:5" ht="24.75" customHeight="1">
      <c r="A521" s="362" t="s">
        <v>12</v>
      </c>
      <c r="B521" s="362"/>
      <c r="C521" s="87">
        <f>C517+C518+C519+C520</f>
        <v>35193140</v>
      </c>
      <c r="D521" s="87">
        <f>D517+D518+D519+D520</f>
        <v>7630251.0034</v>
      </c>
      <c r="E521" s="87">
        <f>E517+E518+E519+E520</f>
        <v>42823391.003400005</v>
      </c>
    </row>
  </sheetData>
  <mergeCells count="20">
    <mergeCell ref="B2:E2"/>
    <mergeCell ref="B40:E40"/>
    <mergeCell ref="B78:E78"/>
    <mergeCell ref="B116:E116"/>
    <mergeCell ref="B153:E153"/>
    <mergeCell ref="B155:E155"/>
    <mergeCell ref="B194:E194"/>
    <mergeCell ref="B234:E234"/>
    <mergeCell ref="B400:E400"/>
    <mergeCell ref="B441:E441"/>
    <mergeCell ref="B480:E480"/>
    <mergeCell ref="B235:E235"/>
    <mergeCell ref="B275:E275"/>
    <mergeCell ref="B315:E315"/>
    <mergeCell ref="B358:E358"/>
    <mergeCell ref="A521:B521"/>
    <mergeCell ref="A517:B517"/>
    <mergeCell ref="A518:B518"/>
    <mergeCell ref="A519:B519"/>
    <mergeCell ref="A520:B5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</cp:lastModifiedBy>
  <cp:lastPrinted>2019-02-11T09:04:57Z</cp:lastPrinted>
  <dcterms:created xsi:type="dcterms:W3CDTF">2007-10-22T13:43:01Z</dcterms:created>
  <dcterms:modified xsi:type="dcterms:W3CDTF">2019-02-11T09:05:14Z</dcterms:modified>
  <cp:category/>
  <cp:version/>
  <cp:contentType/>
  <cp:contentStatus/>
</cp:coreProperties>
</file>